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.fleming\Downloads\"/>
    </mc:Choice>
  </mc:AlternateContent>
  <xr:revisionPtr revIDLastSave="0" documentId="8_{A5DBD9E8-478D-4BE0-A676-35759192C5DE}" xr6:coauthVersionLast="45" xr6:coauthVersionMax="45" xr10:uidLastSave="{00000000-0000-0000-0000-000000000000}"/>
  <bookViews>
    <workbookView xWindow="-110" yWindow="-110" windowWidth="19420" windowHeight="10420" firstSheet="5" activeTab="5" xr2:uid="{00000000-000D-0000-FFFF-FFFF00000000}"/>
  </bookViews>
  <sheets>
    <sheet name="Sheet1" sheetId="1" state="hidden" r:id="rId1"/>
    <sheet name="Strategy1" sheetId="2" state="hidden" r:id="rId2"/>
    <sheet name="Strategy 2" sheetId="3" state="hidden" r:id="rId3"/>
    <sheet name="RecStrat(Jun3)" sheetId="4" state="hidden" r:id="rId4"/>
    <sheet name="Jun 3 - Meagan" sheetId="5" state="hidden" r:id="rId5"/>
    <sheet name="Review Order - Summary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5" l="1"/>
  <c r="J14" i="5"/>
  <c r="I14" i="5"/>
  <c r="I13" i="5"/>
  <c r="I15" i="5"/>
  <c r="H14" i="5"/>
  <c r="H13" i="5"/>
  <c r="H15" i="5"/>
  <c r="H3" i="5"/>
  <c r="H5" i="5"/>
  <c r="H6" i="5"/>
  <c r="H8" i="5"/>
  <c r="H18" i="5"/>
  <c r="H20" i="5"/>
  <c r="I3" i="5"/>
  <c r="I5" i="5"/>
  <c r="I6" i="5"/>
  <c r="I8" i="5"/>
  <c r="I9" i="5"/>
  <c r="J3" i="5"/>
  <c r="K3" i="5"/>
  <c r="K9" i="5"/>
  <c r="B9" i="5"/>
  <c r="D9" i="5"/>
  <c r="E9" i="5"/>
  <c r="F9" i="5"/>
  <c r="G9" i="5"/>
  <c r="J9" i="5"/>
  <c r="J12" i="5"/>
  <c r="K12" i="5"/>
  <c r="K18" i="5"/>
  <c r="K20" i="5"/>
  <c r="B15" i="5"/>
  <c r="B19" i="5"/>
  <c r="B20" i="5"/>
  <c r="D15" i="5"/>
  <c r="E15" i="5"/>
  <c r="F15" i="5"/>
  <c r="G15" i="5"/>
  <c r="J15" i="5"/>
  <c r="K15" i="5"/>
  <c r="J18" i="5"/>
  <c r="D19" i="5"/>
  <c r="E19" i="5"/>
  <c r="F19" i="5"/>
  <c r="G19" i="5"/>
  <c r="H19" i="5"/>
  <c r="I19" i="5"/>
  <c r="J19" i="5"/>
  <c r="K19" i="5"/>
  <c r="D20" i="5"/>
  <c r="E20" i="5"/>
  <c r="F20" i="5"/>
  <c r="G20" i="5"/>
  <c r="J20" i="5"/>
  <c r="G20" i="4"/>
  <c r="J18" i="4"/>
  <c r="K18" i="4"/>
  <c r="H18" i="4"/>
  <c r="K14" i="4"/>
  <c r="J14" i="4"/>
  <c r="I14" i="4"/>
  <c r="H14" i="4"/>
  <c r="K12" i="4"/>
  <c r="J12" i="4"/>
  <c r="I8" i="4"/>
  <c r="H8" i="4"/>
  <c r="B9" i="4"/>
  <c r="B15" i="4"/>
  <c r="I20" i="5"/>
  <c r="H9" i="5"/>
  <c r="J19" i="4"/>
  <c r="K19" i="4"/>
  <c r="G19" i="4"/>
  <c r="F19" i="4"/>
  <c r="E19" i="4"/>
  <c r="D19" i="4"/>
  <c r="B19" i="4"/>
  <c r="B20" i="4"/>
  <c r="I19" i="4"/>
  <c r="H19" i="4"/>
  <c r="G15" i="4"/>
  <c r="F15" i="4"/>
  <c r="E15" i="4"/>
  <c r="D15" i="4"/>
  <c r="K15" i="4"/>
  <c r="J15" i="4"/>
  <c r="I15" i="4"/>
  <c r="H15" i="4"/>
  <c r="G9" i="4"/>
  <c r="F9" i="4"/>
  <c r="E9" i="4"/>
  <c r="D9" i="4"/>
  <c r="D20" i="4"/>
  <c r="I6" i="4"/>
  <c r="H6" i="4"/>
  <c r="I5" i="4"/>
  <c r="H5" i="4"/>
  <c r="K3" i="4"/>
  <c r="J3" i="4"/>
  <c r="I3" i="4"/>
  <c r="H3" i="4"/>
  <c r="H20" i="4"/>
  <c r="I9" i="4"/>
  <c r="I20" i="4"/>
  <c r="J9" i="4"/>
  <c r="J20" i="4"/>
  <c r="E20" i="4"/>
  <c r="F20" i="4"/>
  <c r="K9" i="4"/>
  <c r="K20" i="4"/>
  <c r="H9" i="4"/>
  <c r="B5" i="3"/>
  <c r="I19" i="3"/>
  <c r="H19" i="3"/>
  <c r="J20" i="3"/>
  <c r="K20" i="3"/>
  <c r="G20" i="3"/>
  <c r="F20" i="3"/>
  <c r="E20" i="3"/>
  <c r="D20" i="3"/>
  <c r="B20" i="3"/>
  <c r="I11" i="3"/>
  <c r="I16" i="3"/>
  <c r="H11" i="3"/>
  <c r="H16" i="3"/>
  <c r="H18" i="3"/>
  <c r="I18" i="3"/>
  <c r="J16" i="3"/>
  <c r="K16" i="3"/>
  <c r="G16" i="3"/>
  <c r="F16" i="3"/>
  <c r="E16" i="3"/>
  <c r="D16" i="3"/>
  <c r="I20" i="3"/>
  <c r="H20" i="3"/>
  <c r="B9" i="3"/>
  <c r="J9" i="3"/>
  <c r="K9" i="3"/>
  <c r="G9" i="3"/>
  <c r="F9" i="3"/>
  <c r="E9" i="3"/>
  <c r="D9" i="3"/>
  <c r="I8" i="3"/>
  <c r="H8" i="3"/>
  <c r="I6" i="3"/>
  <c r="H6" i="3"/>
  <c r="I5" i="3"/>
  <c r="H5" i="3"/>
  <c r="H4" i="3"/>
  <c r="I4" i="3"/>
  <c r="H9" i="3"/>
  <c r="I9" i="3"/>
  <c r="G4" i="1"/>
  <c r="J26" i="2"/>
  <c r="I26" i="2"/>
  <c r="J25" i="2"/>
  <c r="I25" i="2"/>
  <c r="J21" i="2"/>
  <c r="I21" i="2"/>
  <c r="J17" i="2"/>
  <c r="I17" i="2"/>
  <c r="J13" i="2"/>
  <c r="I13" i="2"/>
  <c r="J12" i="2"/>
  <c r="I12" i="2"/>
  <c r="C8" i="2"/>
  <c r="B8" i="2"/>
  <c r="K8" i="2"/>
  <c r="L8" i="2"/>
  <c r="F8" i="2"/>
  <c r="N7" i="2"/>
  <c r="M7" i="2"/>
  <c r="J7" i="2"/>
  <c r="I7" i="2"/>
  <c r="E8" i="2"/>
  <c r="D8" i="2"/>
  <c r="G5" i="2"/>
  <c r="G8" i="2"/>
  <c r="N5" i="2"/>
  <c r="M5" i="2"/>
  <c r="J5" i="2"/>
  <c r="I5" i="2"/>
  <c r="I8" i="2"/>
  <c r="N4" i="2"/>
  <c r="M4" i="2"/>
  <c r="N8" i="2"/>
  <c r="M8" i="2"/>
  <c r="J8" i="2"/>
  <c r="J4" i="2"/>
  <c r="I4" i="2"/>
  <c r="K2" i="1"/>
  <c r="L2" i="1"/>
  <c r="G3" i="1"/>
  <c r="G5" i="1"/>
  <c r="G6" i="1"/>
  <c r="G7" i="1"/>
  <c r="G9" i="1"/>
  <c r="G10" i="1"/>
  <c r="G11" i="1"/>
  <c r="G12" i="1"/>
  <c r="G2" i="1"/>
  <c r="L3" i="1"/>
  <c r="L4" i="1"/>
  <c r="L5" i="1"/>
  <c r="L6" i="1"/>
  <c r="L7" i="1"/>
  <c r="L9" i="1"/>
  <c r="L10" i="1"/>
  <c r="L11" i="1"/>
  <c r="L12" i="1"/>
  <c r="K3" i="1"/>
  <c r="K4" i="1"/>
  <c r="K5" i="1"/>
  <c r="K6" i="1"/>
  <c r="K7" i="1"/>
  <c r="K9" i="1"/>
  <c r="K10" i="1"/>
  <c r="K11" i="1"/>
  <c r="K12" i="1"/>
  <c r="J3" i="1"/>
  <c r="I3" i="1"/>
  <c r="J6" i="1"/>
  <c r="I6" i="1"/>
</calcChain>
</file>

<file path=xl/sharedStrings.xml><?xml version="1.0" encoding="utf-8"?>
<sst xmlns="http://schemas.openxmlformats.org/spreadsheetml/2006/main" count="434" uniqueCount="310">
  <si>
    <t># of Apps</t>
  </si>
  <si>
    <t># Developers</t>
  </si>
  <si>
    <t>Aggregate Bond Amount</t>
  </si>
  <si>
    <t>Average Bonds per Unit</t>
  </si>
  <si>
    <t>Total Units</t>
  </si>
  <si>
    <t>% LI Units</t>
  </si>
  <si>
    <t>LI Units</t>
  </si>
  <si>
    <t>% Family</t>
  </si>
  <si>
    <t>% Senior</t>
  </si>
  <si>
    <t>% NC</t>
  </si>
  <si>
    <t>% Rehab</t>
  </si>
  <si>
    <t>NC</t>
  </si>
  <si>
    <t>Rehab</t>
  </si>
  <si>
    <t> All Bond Apps</t>
  </si>
  <si>
    <t> $1,564,556,631</t>
  </si>
  <si>
    <t>1st Preference Apps</t>
  </si>
  <si>
    <t>RAD Apps</t>
  </si>
  <si>
    <t> $153,700,000</t>
  </si>
  <si>
    <t> $106,240</t>
  </si>
  <si>
    <t>Exp. Funds</t>
  </si>
  <si>
    <t>    Exp. Fed. Funds</t>
  </si>
  <si>
    <t>    Exp. Local Funds</t>
  </si>
  <si>
    <t> $49,490,000</t>
  </si>
  <si>
    <t> $114,596</t>
  </si>
  <si>
    <t xml:space="preserve">         Exp. Fed/Local by year end</t>
  </si>
  <si>
    <t xml:space="preserve">    Exp. HAP Contract</t>
  </si>
  <si>
    <t> Preservation Apps</t>
  </si>
  <si>
    <t> $434,408,304</t>
  </si>
  <si>
    <t> $100,111</t>
  </si>
  <si>
    <t> Preservation Apps*</t>
  </si>
  <si>
    <t> $390,408,304</t>
  </si>
  <si>
    <t> $96,731</t>
  </si>
  <si>
    <t> Currently Own Site</t>
  </si>
  <si>
    <t> $667,140,668</t>
  </si>
  <si>
    <t> $101,338</t>
  </si>
  <si>
    <t>DEVELOPER 1ST PREFERENCE APPS</t>
  </si>
  <si>
    <t>Exp. Funds (2020)</t>
  </si>
  <si>
    <t>1st Pref. (less Exp. Funds 2020)</t>
  </si>
  <si>
    <t xml:space="preserve">   Site Owned</t>
  </si>
  <si>
    <t xml:space="preserve">   Preservation (less Site Owned)</t>
  </si>
  <si>
    <t xml:space="preserve">   Remaining first preferences</t>
  </si>
  <si>
    <t>Cumulative Total</t>
  </si>
  <si>
    <t>Note: 1st pref missing bond amount for 2 apps</t>
  </si>
  <si>
    <t>Left out priority: one RAD app w/ CHAP Award (2020-PA569)</t>
  </si>
  <si>
    <t>DEVELOPER 2ND PREFERENCE APPS</t>
  </si>
  <si>
    <t>Total Remaining 2nd Choice</t>
  </si>
  <si>
    <t xml:space="preserve">    Expiring federal/local funds</t>
  </si>
  <si>
    <t xml:space="preserve">   RAD (less exp. Funds)</t>
  </si>
  <si>
    <t xml:space="preserve">   Preservation (less expiring funds, RAD)</t>
  </si>
  <si>
    <t xml:space="preserve">   Site owned (less expiring funds, RAD, Preservation)</t>
  </si>
  <si>
    <t xml:space="preserve">   Remaining second preferences</t>
  </si>
  <si>
    <t>Note: missing bond amount for 1 app (total &amp; remaining)</t>
  </si>
  <si>
    <t>REMAINING APPS</t>
  </si>
  <si>
    <t>Total Remaining Apps</t>
  </si>
  <si>
    <t xml:space="preserve">   RAD (less exp funds)</t>
  </si>
  <si>
    <t xml:space="preserve">   Remaining apps</t>
  </si>
  <si>
    <t>Tranche A</t>
  </si>
  <si>
    <t>Exp Funds (2020)</t>
  </si>
  <si>
    <t>RAD w/ CHAP</t>
  </si>
  <si>
    <t>1st Choice</t>
  </si>
  <si>
    <t xml:space="preserve">   Preservation</t>
  </si>
  <si>
    <t xml:space="preserve">   Remaining 1st Choice</t>
  </si>
  <si>
    <t>Tranche B</t>
  </si>
  <si>
    <t>Exp Funds (post-2020)</t>
  </si>
  <si>
    <t>Preservation</t>
  </si>
  <si>
    <t xml:space="preserve">   2nd Choice</t>
  </si>
  <si>
    <t xml:space="preserve">   Remaining Preservation</t>
  </si>
  <si>
    <t>Tranche C</t>
  </si>
  <si>
    <t>Remaining 2nd Choice</t>
  </si>
  <si>
    <t>Remaining Apps</t>
  </si>
  <si>
    <t>Tranche 1</t>
  </si>
  <si>
    <t>A. Exp Funds (in next 12 months)</t>
  </si>
  <si>
    <t>6 _x000D_
(4 are portfolio)</t>
  </si>
  <si>
    <t>B. NOFA Awards</t>
  </si>
  <si>
    <t>C. Preservation - RAD w/ CHAP</t>
  </si>
  <si>
    <t>D. Preservation - Developers' 1st Choice</t>
  </si>
  <si>
    <t>E. 1st Choice - Site Ownership</t>
  </si>
  <si>
    <t>F. 1st Choice - Remaining</t>
  </si>
  <si>
    <t>Tranche 2</t>
  </si>
  <si>
    <t>A. Remaining Expiring Funds</t>
  </si>
  <si>
    <t>B. Preservation - Remaining</t>
  </si>
  <si>
    <t>C. 2nd Choice - Site Ownership</t>
  </si>
  <si>
    <t>D. 2nd Choice - Remaining (up to funding limit)</t>
  </si>
  <si>
    <t>Tranche 3</t>
  </si>
  <si>
    <t>GRAND TOTAL</t>
  </si>
  <si>
    <t>C. 2nd Choice - Developer 2nd App</t>
  </si>
  <si>
    <t>Tranche</t>
  </si>
  <si>
    <t>Anticipated Bond Amount</t>
  </si>
  <si>
    <t>Pre-App Nbr</t>
  </si>
  <si>
    <t>2020PA-560</t>
  </si>
  <si>
    <t>2020PA-564</t>
  </si>
  <si>
    <t>2020PA-565</t>
  </si>
  <si>
    <t>2020PA-580</t>
  </si>
  <si>
    <t>2020PA-596</t>
  </si>
  <si>
    <t>2020PA-540</t>
  </si>
  <si>
    <t>2020PA-556</t>
  </si>
  <si>
    <t>2020PA-559</t>
  </si>
  <si>
    <t>2020PA-561</t>
  </si>
  <si>
    <t>2020PA-569</t>
  </si>
  <si>
    <t>2020PA-570</t>
  </si>
  <si>
    <t>2020PA-587</t>
  </si>
  <si>
    <t>2020PA-537</t>
  </si>
  <si>
    <t>2020PA-539</t>
  </si>
  <si>
    <t>2020PA-541</t>
  </si>
  <si>
    <t>2020PA-542</t>
  </si>
  <si>
    <t>2020PA-544</t>
  </si>
  <si>
    <t>2020PA-547</t>
  </si>
  <si>
    <t>2020PA-552</t>
  </si>
  <si>
    <t>2020PA-563</t>
  </si>
  <si>
    <t>2020PA-600</t>
  </si>
  <si>
    <t>2020PA-601</t>
  </si>
  <si>
    <t>2020PA-502</t>
  </si>
  <si>
    <t>2020PA-510</t>
  </si>
  <si>
    <t>2020PA-583</t>
  </si>
  <si>
    <t>2020PA-577</t>
  </si>
  <si>
    <t>2020PA-507</t>
  </si>
  <si>
    <t>2020PA-513</t>
  </si>
  <si>
    <t>2020PA-514</t>
  </si>
  <si>
    <t>2020PA-516</t>
  </si>
  <si>
    <t>2020PA-522</t>
  </si>
  <si>
    <t>2020PA-534</t>
  </si>
  <si>
    <t>2020PA-553</t>
  </si>
  <si>
    <t>2020PA-589</t>
  </si>
  <si>
    <t>2020PA-593</t>
  </si>
  <si>
    <t>2020PA-598</t>
  </si>
  <si>
    <t>2020PA-535</t>
  </si>
  <si>
    <t>2020PA-508</t>
  </si>
  <si>
    <t>2020PA-588</t>
  </si>
  <si>
    <t>2020PA-597</t>
  </si>
  <si>
    <t>2020PA-562</t>
  </si>
  <si>
    <t>2020PA-599</t>
  </si>
  <si>
    <t>2020PA-506</t>
  </si>
  <si>
    <t>2020PA-545</t>
  </si>
  <si>
    <t>2020PA-546</t>
  </si>
  <si>
    <t>2020PA-549</t>
  </si>
  <si>
    <t>2020PA-554</t>
  </si>
  <si>
    <t>2020PA-581</t>
  </si>
  <si>
    <t>2020PA-582</t>
  </si>
  <si>
    <t>2020PA-536</t>
  </si>
  <si>
    <t>2020PA-518</t>
  </si>
  <si>
    <t>2020PA-532</t>
  </si>
  <si>
    <t>2020PA-501</t>
  </si>
  <si>
    <t>2020PA-503</t>
  </si>
  <si>
    <t>2020PA-504</t>
  </si>
  <si>
    <t>2020PA-524</t>
  </si>
  <si>
    <t>2020PA-512</t>
  </si>
  <si>
    <t>2020PA-515</t>
  </si>
  <si>
    <t>2020PA-523</t>
  </si>
  <si>
    <t>2020PA-575</t>
  </si>
  <si>
    <t>2020PA-586</t>
  </si>
  <si>
    <t>2020PA-590</t>
  </si>
  <si>
    <t>2020PA-603</t>
  </si>
  <si>
    <t>2020PA-505</t>
  </si>
  <si>
    <t>2020PA-550</t>
  </si>
  <si>
    <t>2020PA-574</t>
  </si>
  <si>
    <t>2020PA-527</t>
  </si>
  <si>
    <t>2020PA-555</t>
  </si>
  <si>
    <t>2020PA-531</t>
  </si>
  <si>
    <t>2020PA-579</t>
  </si>
  <si>
    <t>2020PA-572</t>
  </si>
  <si>
    <t>2020PA-591</t>
  </si>
  <si>
    <t>2020PA-511</t>
  </si>
  <si>
    <t>2020PA-526</t>
  </si>
  <si>
    <t>2020PA-548</t>
  </si>
  <si>
    <t>2020PA-557</t>
  </si>
  <si>
    <t>2020PA-558</t>
  </si>
  <si>
    <t>2020PA-533</t>
  </si>
  <si>
    <t>2020PA-528</t>
  </si>
  <si>
    <t>2020PA-529</t>
  </si>
  <si>
    <t>2020PA-530</t>
  </si>
  <si>
    <t>2020PA-578</t>
  </si>
  <si>
    <t>2020PA-551</t>
  </si>
  <si>
    <t>2020PA-594</t>
  </si>
  <si>
    <t>2020PA-509</t>
  </si>
  <si>
    <t>2020PA-517</t>
  </si>
  <si>
    <t>2020PA-576</t>
  </si>
  <si>
    <t>Abbreviated Project Name</t>
  </si>
  <si>
    <t xml:space="preserve">Larry Moore Manor </t>
  </si>
  <si>
    <t>John Sparks Manor</t>
  </si>
  <si>
    <t>Gene Miller Manor</t>
  </si>
  <si>
    <t>Sparrow's View 202</t>
  </si>
  <si>
    <t>Simpson</t>
  </si>
  <si>
    <t>Vllgs Castleberry Hill II</t>
  </si>
  <si>
    <t>Barge Road Sr Tower</t>
  </si>
  <si>
    <t>Phoenix Way Redev</t>
  </si>
  <si>
    <t>Davis Homes</t>
  </si>
  <si>
    <t>Mounts Homes</t>
  </si>
  <si>
    <t>Hightower Manor Highrise</t>
  </si>
  <si>
    <t>Vllgs Carver</t>
  </si>
  <si>
    <t>East Orchard</t>
  </si>
  <si>
    <t>Carrollton Club</t>
  </si>
  <si>
    <t>Savannah Summit</t>
  </si>
  <si>
    <t>Shy Manor Terrace</t>
  </si>
  <si>
    <t>Walton Ridenour</t>
  </si>
  <si>
    <t xml:space="preserve">Green Meadows TH </t>
  </si>
  <si>
    <t>Capstone Barton Chapel</t>
  </si>
  <si>
    <t>Tall Pines</t>
  </si>
  <si>
    <t>Country Grove</t>
  </si>
  <si>
    <t>Magnolia Heights</t>
  </si>
  <si>
    <t>Phoenix Stn Fmly</t>
  </si>
  <si>
    <t>Ivy Ridge</t>
  </si>
  <si>
    <t>East Medinah Vllg</t>
  </si>
  <si>
    <t>Englewoods</t>
  </si>
  <si>
    <t>Newnan Sr</t>
  </si>
  <si>
    <t>Fairview Terrace</t>
  </si>
  <si>
    <t>Henderson Place</t>
  </si>
  <si>
    <t>Harmony Stonecrest</t>
  </si>
  <si>
    <t>Reserve Douglasville</t>
  </si>
  <si>
    <t>Arbours Conyers</t>
  </si>
  <si>
    <t>Lofts Willingham Mill</t>
  </si>
  <si>
    <t>Tranquility Rossville</t>
  </si>
  <si>
    <t>Frances Ward Sr Vllg</t>
  </si>
  <si>
    <t>Sydney Lanier Commons TBD</t>
  </si>
  <si>
    <t>Villas Stone Hogan</t>
  </si>
  <si>
    <t>Walton Green 2</t>
  </si>
  <si>
    <t>Ashley Scholars Landing II</t>
  </si>
  <si>
    <t>Springfield</t>
  </si>
  <si>
    <t>Paces Bufrd Hsg Frame II TBD</t>
  </si>
  <si>
    <t>Paces Bufrd Hsg Frame III TBD</t>
  </si>
  <si>
    <t>Hollywood Shawnee</t>
  </si>
  <si>
    <t>Riverwood TH</t>
  </si>
  <si>
    <t>Sandy Springs</t>
  </si>
  <si>
    <t>Hidden Lake</t>
  </si>
  <si>
    <t xml:space="preserve">Nelms </t>
  </si>
  <si>
    <t>City Lights North Block</t>
  </si>
  <si>
    <t>Englewoods Sr</t>
  </si>
  <si>
    <t>Flats Stone Hogan</t>
  </si>
  <si>
    <t>Harmony Bakers Ferry</t>
  </si>
  <si>
    <t>Grove Indian Crk</t>
  </si>
  <si>
    <t>Bridges Landrum</t>
  </si>
  <si>
    <t>Agape Sr</t>
  </si>
  <si>
    <t>Candler Reserve</t>
  </si>
  <si>
    <t>DeKalb Workforce</t>
  </si>
  <si>
    <t>Sandpiper Terrace</t>
  </si>
  <si>
    <t>Tranquility Decatur</t>
  </si>
  <si>
    <t>Reserve Hollywood</t>
  </si>
  <si>
    <t>Griffin Vllg</t>
  </si>
  <si>
    <t>Flat Shoals</t>
  </si>
  <si>
    <t>Harmony Fairburn</t>
  </si>
  <si>
    <t>Abbington Point</t>
  </si>
  <si>
    <t>Greenbriar Sr</t>
  </si>
  <si>
    <t>Shadowood</t>
  </si>
  <si>
    <t>Tranquility Warner Robins</t>
  </si>
  <si>
    <t>Reserve Wynn Place</t>
  </si>
  <si>
    <t>Life Greenbriar 1</t>
  </si>
  <si>
    <t>Woods Morning Crk</t>
  </si>
  <si>
    <t xml:space="preserve">Astoria Crystal Lake Sr </t>
  </si>
  <si>
    <t>Verbena</t>
  </si>
  <si>
    <t>Harmony Warner Robins</t>
  </si>
  <si>
    <t>Bayberry Terrace</t>
  </si>
  <si>
    <t>Reserve Jackson Hwy</t>
  </si>
  <si>
    <t>Life Pine Grove 1</t>
  </si>
  <si>
    <t>Life Greenbriar 2</t>
  </si>
  <si>
    <t>Life Pine Grove 2</t>
  </si>
  <si>
    <t>Woods Morning Crk Sr</t>
  </si>
  <si>
    <t>Flat Shoals Fmly</t>
  </si>
  <si>
    <t>Flat Shoals Sr</t>
  </si>
  <si>
    <t>Finley</t>
  </si>
  <si>
    <t>Hillcrest Sr II</t>
  </si>
  <si>
    <t>Jester Homes Redev</t>
  </si>
  <si>
    <t xml:space="preserve">First Baptist Sr </t>
  </si>
  <si>
    <t>Greenbriar Fmly</t>
  </si>
  <si>
    <t>Lakeview Terrace</t>
  </si>
  <si>
    <t>Boulevard North</t>
  </si>
  <si>
    <t xml:space="preserve">National Church Residences </t>
  </si>
  <si>
    <t>National Church Residences</t>
  </si>
  <si>
    <t>Quest Community Housing Development, Inc.</t>
  </si>
  <si>
    <t>Tapestry Development Group, Inc.</t>
  </si>
  <si>
    <t>The Michaels Development Company I, LP</t>
  </si>
  <si>
    <t>Vecino Bond Group</t>
  </si>
  <si>
    <t>In-Fill Housing II, Inc.</t>
  </si>
  <si>
    <t xml:space="preserve">Columbia Residential </t>
  </si>
  <si>
    <t>Integral Development</t>
  </si>
  <si>
    <t>TISCHO Development, Inc.</t>
  </si>
  <si>
    <t>TISHCO Development Inc.</t>
  </si>
  <si>
    <t>Jonathan Rose Companies</t>
  </si>
  <si>
    <t>Southport Financial Services</t>
  </si>
  <si>
    <t>Walton Communities</t>
  </si>
  <si>
    <t>Vitus Development IV, LLC</t>
  </si>
  <si>
    <t>The Banyan Foundation, Inc.</t>
  </si>
  <si>
    <t>Huntley Witmer Development, LLC</t>
  </si>
  <si>
    <t>Park Terrace Development</t>
  </si>
  <si>
    <t>Pedcor Investments, LLC</t>
  </si>
  <si>
    <t>Exact Capital LLC</t>
  </si>
  <si>
    <t>Housing Development Corporation of DeKalb</t>
  </si>
  <si>
    <t>The Benoit Group, LLC</t>
  </si>
  <si>
    <t>Dominium Development &amp; Acquisitions, LLC</t>
  </si>
  <si>
    <t>KCG Development, LLC</t>
  </si>
  <si>
    <t>Mercy Housing Southeast</t>
  </si>
  <si>
    <t>Timshel Partners, LLC</t>
  </si>
  <si>
    <t>MVAH Development LLC</t>
  </si>
  <si>
    <t>Arbour Valley Development, LLC</t>
  </si>
  <si>
    <t>Roundstone Development, LLC</t>
  </si>
  <si>
    <t>Gateway Development Corporation</t>
  </si>
  <si>
    <t>Beverly J. Searles Foundation</t>
  </si>
  <si>
    <t xml:space="preserve">The Paces Foundation, Inc. </t>
  </si>
  <si>
    <t>Zimmerman Properties SE, LLC</t>
  </si>
  <si>
    <t>The Paces Foundation, Inc.</t>
  </si>
  <si>
    <t>Wingate Companies</t>
  </si>
  <si>
    <t>Timshel Development Group</t>
  </si>
  <si>
    <t>Prestwick Development Company</t>
  </si>
  <si>
    <t>Dominium</t>
  </si>
  <si>
    <t>Collaborative Housing Solutions</t>
  </si>
  <si>
    <t>Rea Ventures Group, LLC</t>
  </si>
  <si>
    <t>Olive Tree Holdings</t>
  </si>
  <si>
    <t>Dominium Development &amp; Acquistions, LLC</t>
  </si>
  <si>
    <t>Company</t>
  </si>
  <si>
    <t>LDG Development</t>
  </si>
  <si>
    <t>DCA HOME/NHTF Awards</t>
  </si>
  <si>
    <t>Various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</si>
</sst>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2" applyFont="1" applyFill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" fontId="0" fillId="0" borderId="0" xfId="3" applyNumberFormat="1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2" xfId="2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2" xfId="2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9" fontId="0" fillId="0" borderId="4" xfId="2" applyFont="1" applyBorder="1" applyAlignment="1">
      <alignment horizontal="center"/>
    </xf>
    <xf numFmtId="9" fontId="0" fillId="0" borderId="5" xfId="2" applyFont="1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9" fontId="2" fillId="0" borderId="4" xfId="2" applyFont="1" applyBorder="1" applyAlignment="1">
      <alignment horizontal="center"/>
    </xf>
    <xf numFmtId="9" fontId="2" fillId="0" borderId="5" xfId="2" applyFont="1" applyBorder="1" applyAlignment="1">
      <alignment horizontal="center"/>
    </xf>
    <xf numFmtId="2" fontId="0" fillId="0" borderId="0" xfId="2" applyNumberFormat="1" applyFont="1" applyBorder="1" applyAlignment="1">
      <alignment horizontal="center"/>
    </xf>
    <xf numFmtId="0" fontId="0" fillId="2" borderId="1" xfId="0" applyFill="1" applyBorder="1"/>
    <xf numFmtId="3" fontId="0" fillId="0" borderId="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" xfId="0" applyFill="1" applyBorder="1"/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1" fontId="0" fillId="0" borderId="0" xfId="3" applyNumberFormat="1" applyFont="1" applyAlignment="1">
      <alignment horizontal="center"/>
    </xf>
    <xf numFmtId="9" fontId="2" fillId="0" borderId="0" xfId="2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165" fontId="0" fillId="4" borderId="0" xfId="3" applyNumberFormat="1" applyFont="1" applyFill="1"/>
    <xf numFmtId="0" fontId="0" fillId="5" borderId="0" xfId="0" applyFill="1" applyAlignment="1">
      <alignment horizontal="center"/>
    </xf>
    <xf numFmtId="0" fontId="0" fillId="5" borderId="0" xfId="0" applyFill="1"/>
    <xf numFmtId="165" fontId="0" fillId="5" borderId="0" xfId="3" applyNumberFormat="1" applyFont="1" applyFill="1"/>
    <xf numFmtId="0" fontId="3" fillId="5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/>
    <xf numFmtId="165" fontId="0" fillId="6" borderId="0" xfId="3" applyNumberFormat="1" applyFont="1" applyFill="1"/>
    <xf numFmtId="0" fontId="3" fillId="6" borderId="0" xfId="0" applyFont="1" applyFill="1"/>
    <xf numFmtId="0" fontId="0" fillId="4" borderId="0" xfId="0" applyFill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workbookViewId="0">
      <selection activeCell="A8" sqref="A8"/>
    </sheetView>
  </sheetViews>
  <sheetFormatPr defaultRowHeight="14.5" x14ac:dyDescent="0.35"/>
  <cols>
    <col min="1" max="1" width="28.81640625" bestFit="1" customWidth="1"/>
    <col min="2" max="2" width="9.1796875" style="1"/>
    <col min="3" max="3" width="12.54296875" style="1" bestFit="1" customWidth="1"/>
    <col min="4" max="4" width="23" style="1" bestFit="1" customWidth="1"/>
    <col min="5" max="5" width="22.1796875" style="1" bestFit="1" customWidth="1"/>
    <col min="6" max="6" width="10.453125" style="1" bestFit="1" customWidth="1"/>
    <col min="7" max="7" width="10.453125" style="1" customWidth="1"/>
    <col min="8" max="8" width="7.453125" style="1" hidden="1" customWidth="1"/>
    <col min="9" max="9" width="8.81640625" style="4" bestFit="1" customWidth="1"/>
    <col min="10" max="10" width="8.7265625" style="4" bestFit="1" customWidth="1"/>
    <col min="11" max="11" width="8.7265625" style="4" customWidth="1"/>
    <col min="12" max="12" width="8.54296875" style="4" bestFit="1" customWidth="1"/>
    <col min="13" max="13" width="6" hidden="1" customWidth="1"/>
    <col min="14" max="14" width="6.54296875" hidden="1" customWidth="1"/>
  </cols>
  <sheetData>
    <row r="1" spans="1:14" s="1" customFormat="1" x14ac:dyDescent="0.3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1" t="s">
        <v>11</v>
      </c>
      <c r="N1" s="1" t="s">
        <v>12</v>
      </c>
    </row>
    <row r="2" spans="1:14" x14ac:dyDescent="0.35">
      <c r="A2" t="s">
        <v>13</v>
      </c>
      <c r="B2" s="1">
        <v>95</v>
      </c>
      <c r="C2" s="1">
        <v>34</v>
      </c>
      <c r="D2" s="3" t="s">
        <v>14</v>
      </c>
      <c r="E2" s="3">
        <v>105344</v>
      </c>
      <c r="F2" s="1">
        <v>15452</v>
      </c>
      <c r="G2" s="2">
        <f>H2/F2</f>
        <v>0.95877556303391143</v>
      </c>
      <c r="H2" s="1">
        <v>14815</v>
      </c>
      <c r="I2" s="5">
        <v>0.67400000000000004</v>
      </c>
      <c r="J2" s="5">
        <v>0.316</v>
      </c>
      <c r="K2" s="5">
        <f>M2/F2</f>
        <v>0.68463629303650009</v>
      </c>
      <c r="L2" s="5">
        <f>N2/F2</f>
        <v>0.30966865130727411</v>
      </c>
      <c r="M2">
        <v>10579</v>
      </c>
      <c r="N2">
        <v>4785</v>
      </c>
    </row>
    <row r="3" spans="1:14" x14ac:dyDescent="0.35">
      <c r="A3" t="s">
        <v>15</v>
      </c>
      <c r="B3" s="1">
        <v>37</v>
      </c>
      <c r="C3" s="1">
        <v>34</v>
      </c>
      <c r="D3" s="3">
        <v>647000000</v>
      </c>
      <c r="E3" s="3">
        <v>104436</v>
      </c>
      <c r="F3" s="1">
        <v>5964</v>
      </c>
      <c r="G3" s="2">
        <f t="shared" ref="G3:G12" si="0">H3/F3</f>
        <v>0.92706237424547289</v>
      </c>
      <c r="H3" s="1">
        <v>5529</v>
      </c>
      <c r="I3" s="5">
        <f>26/37</f>
        <v>0.70270270270270274</v>
      </c>
      <c r="J3" s="5">
        <f>11/37</f>
        <v>0.29729729729729731</v>
      </c>
      <c r="K3" s="5">
        <f t="shared" ref="K3:K12" si="1">M3/F3</f>
        <v>0.60747820254862506</v>
      </c>
      <c r="L3" s="5">
        <f t="shared" ref="L3:L12" si="2">N3/F3</f>
        <v>0.39252179745137494</v>
      </c>
      <c r="M3">
        <v>3623</v>
      </c>
      <c r="N3">
        <v>2341</v>
      </c>
    </row>
    <row r="4" spans="1:14" x14ac:dyDescent="0.35">
      <c r="A4" t="s">
        <v>16</v>
      </c>
      <c r="B4" s="1">
        <v>10</v>
      </c>
      <c r="C4" s="1">
        <v>7</v>
      </c>
      <c r="D4" s="3" t="s">
        <v>17</v>
      </c>
      <c r="E4" s="3" t="s">
        <v>18</v>
      </c>
      <c r="F4" s="1">
        <v>1514</v>
      </c>
      <c r="G4" s="5">
        <f>H4/(F4-208)</f>
        <v>0.90658499234303214</v>
      </c>
      <c r="H4" s="1">
        <v>1184</v>
      </c>
      <c r="I4" s="5">
        <v>0.8</v>
      </c>
      <c r="J4" s="5">
        <v>0.2</v>
      </c>
      <c r="K4" s="5">
        <f t="shared" si="1"/>
        <v>7.2655217965653898E-2</v>
      </c>
      <c r="L4" s="5">
        <f t="shared" si="2"/>
        <v>0.92734478203434612</v>
      </c>
      <c r="M4">
        <v>110</v>
      </c>
      <c r="N4">
        <v>1404</v>
      </c>
    </row>
    <row r="5" spans="1:14" x14ac:dyDescent="0.35">
      <c r="A5" t="s">
        <v>19</v>
      </c>
      <c r="B5" s="1">
        <v>17</v>
      </c>
      <c r="C5" s="1">
        <v>9</v>
      </c>
      <c r="D5" s="3">
        <v>173463318</v>
      </c>
      <c r="E5" s="3">
        <v>94365</v>
      </c>
      <c r="F5" s="1">
        <v>1718</v>
      </c>
      <c r="G5" s="2">
        <f t="shared" si="0"/>
        <v>0.94703143189755534</v>
      </c>
      <c r="H5" s="1">
        <v>1627</v>
      </c>
      <c r="I5" s="5">
        <v>0.5</v>
      </c>
      <c r="J5" s="5">
        <v>0.5</v>
      </c>
      <c r="K5" s="5">
        <f t="shared" si="1"/>
        <v>0.49010477299185101</v>
      </c>
      <c r="L5" s="5">
        <f t="shared" si="2"/>
        <v>0.50989522700814904</v>
      </c>
      <c r="M5">
        <v>842</v>
      </c>
      <c r="N5">
        <v>876</v>
      </c>
    </row>
    <row r="6" spans="1:14" x14ac:dyDescent="0.35">
      <c r="A6" t="s">
        <v>20</v>
      </c>
      <c r="B6" s="1">
        <v>11</v>
      </c>
      <c r="C6" s="1">
        <v>3</v>
      </c>
      <c r="D6" s="3">
        <v>95706519</v>
      </c>
      <c r="E6" s="3">
        <v>87067.458257648963</v>
      </c>
      <c r="F6" s="1">
        <v>1014</v>
      </c>
      <c r="G6" s="2">
        <f t="shared" si="0"/>
        <v>0.91025641025641024</v>
      </c>
      <c r="H6" s="1">
        <v>923</v>
      </c>
      <c r="I6" s="5">
        <f>4/11</f>
        <v>0.36363636363636365</v>
      </c>
      <c r="J6" s="5">
        <f>7/11</f>
        <v>0.63636363636363635</v>
      </c>
      <c r="K6" s="5">
        <f t="shared" si="1"/>
        <v>0.53451676528599601</v>
      </c>
      <c r="L6" s="5">
        <f t="shared" si="2"/>
        <v>0.46548323471400394</v>
      </c>
      <c r="M6">
        <v>542</v>
      </c>
      <c r="N6">
        <v>472</v>
      </c>
    </row>
    <row r="7" spans="1:14" x14ac:dyDescent="0.35">
      <c r="A7" t="s">
        <v>21</v>
      </c>
      <c r="B7" s="1">
        <v>3</v>
      </c>
      <c r="C7" s="1">
        <v>2</v>
      </c>
      <c r="D7" s="3" t="s">
        <v>22</v>
      </c>
      <c r="E7" s="3" t="s">
        <v>23</v>
      </c>
      <c r="F7" s="1">
        <v>429</v>
      </c>
      <c r="G7" s="2">
        <f t="shared" si="0"/>
        <v>1</v>
      </c>
      <c r="H7" s="1">
        <v>429</v>
      </c>
      <c r="I7" s="5">
        <v>0.67</v>
      </c>
      <c r="J7" s="5">
        <v>0.33</v>
      </c>
      <c r="K7" s="5">
        <f t="shared" si="1"/>
        <v>0.69930069930069927</v>
      </c>
      <c r="L7" s="5">
        <f t="shared" si="2"/>
        <v>0.30069930069930068</v>
      </c>
      <c r="M7">
        <v>300</v>
      </c>
      <c r="N7">
        <v>129</v>
      </c>
    </row>
    <row r="8" spans="1:14" x14ac:dyDescent="0.35">
      <c r="A8" t="s">
        <v>24</v>
      </c>
      <c r="B8" s="1">
        <v>2</v>
      </c>
      <c r="C8" s="1">
        <v>1</v>
      </c>
      <c r="D8" s="3">
        <v>36990000</v>
      </c>
      <c r="E8" s="3">
        <v>123445.70135746605</v>
      </c>
      <c r="F8" s="1">
        <v>300</v>
      </c>
      <c r="G8" s="2">
        <v>1</v>
      </c>
      <c r="I8" s="5">
        <v>1</v>
      </c>
      <c r="J8" s="5">
        <v>0</v>
      </c>
      <c r="K8" s="5">
        <v>1</v>
      </c>
      <c r="L8" s="5">
        <v>0</v>
      </c>
    </row>
    <row r="9" spans="1:14" x14ac:dyDescent="0.35">
      <c r="A9" t="s">
        <v>25</v>
      </c>
      <c r="B9" s="1">
        <v>3</v>
      </c>
      <c r="C9" s="1">
        <v>3</v>
      </c>
      <c r="D9" s="3">
        <v>28266799</v>
      </c>
      <c r="E9" s="3">
        <v>100894.1033816422</v>
      </c>
      <c r="F9" s="1">
        <v>275</v>
      </c>
      <c r="G9" s="2">
        <f t="shared" si="0"/>
        <v>1</v>
      </c>
      <c r="H9" s="1">
        <v>275</v>
      </c>
      <c r="I9" s="5">
        <v>1</v>
      </c>
      <c r="J9" s="5">
        <v>0</v>
      </c>
      <c r="K9" s="5">
        <f t="shared" si="1"/>
        <v>0</v>
      </c>
      <c r="L9" s="5">
        <f t="shared" si="2"/>
        <v>1</v>
      </c>
      <c r="M9">
        <v>0</v>
      </c>
      <c r="N9">
        <v>275</v>
      </c>
    </row>
    <row r="10" spans="1:14" x14ac:dyDescent="0.35">
      <c r="A10" t="s">
        <v>26</v>
      </c>
      <c r="B10" s="1">
        <v>34</v>
      </c>
      <c r="C10" s="1">
        <v>20</v>
      </c>
      <c r="D10" s="3" t="s">
        <v>27</v>
      </c>
      <c r="E10" s="3" t="s">
        <v>28</v>
      </c>
      <c r="F10" s="1">
        <v>4517</v>
      </c>
      <c r="G10" s="2">
        <f t="shared" si="0"/>
        <v>0.86052689838388308</v>
      </c>
      <c r="H10" s="1">
        <v>3887</v>
      </c>
      <c r="I10" s="5">
        <v>0.73499999999999999</v>
      </c>
      <c r="J10" s="5">
        <v>0.26500000000000001</v>
      </c>
      <c r="K10" s="5">
        <f t="shared" si="1"/>
        <v>0.18308611910560108</v>
      </c>
      <c r="L10" s="5">
        <f t="shared" si="2"/>
        <v>0.81691388089439898</v>
      </c>
      <c r="M10">
        <v>827</v>
      </c>
      <c r="N10">
        <v>3690</v>
      </c>
    </row>
    <row r="11" spans="1:14" x14ac:dyDescent="0.35">
      <c r="A11" t="s">
        <v>29</v>
      </c>
      <c r="B11" s="1">
        <v>32</v>
      </c>
      <c r="C11" s="1">
        <v>20</v>
      </c>
      <c r="D11" s="3" t="s">
        <v>30</v>
      </c>
      <c r="E11" s="3" t="s">
        <v>31</v>
      </c>
      <c r="F11" s="1">
        <v>4217</v>
      </c>
      <c r="G11" s="2">
        <f t="shared" si="0"/>
        <v>0.87431823571259193</v>
      </c>
      <c r="H11" s="1">
        <v>3687</v>
      </c>
      <c r="I11" s="5">
        <v>0.71899999999999997</v>
      </c>
      <c r="J11" s="5">
        <v>0.28100000000000003</v>
      </c>
      <c r="K11" s="5">
        <f t="shared" si="1"/>
        <v>0.12497035807446051</v>
      </c>
      <c r="L11" s="5">
        <f t="shared" si="2"/>
        <v>0.87502964192553945</v>
      </c>
      <c r="M11">
        <v>527</v>
      </c>
      <c r="N11">
        <v>3690</v>
      </c>
    </row>
    <row r="12" spans="1:14" x14ac:dyDescent="0.35">
      <c r="A12" t="s">
        <v>32</v>
      </c>
      <c r="B12" s="1">
        <v>40</v>
      </c>
      <c r="C12" s="1">
        <v>22</v>
      </c>
      <c r="D12" s="3" t="s">
        <v>33</v>
      </c>
      <c r="E12" s="3" t="s">
        <v>34</v>
      </c>
      <c r="F12" s="1">
        <v>6350</v>
      </c>
      <c r="G12" s="2">
        <f t="shared" si="0"/>
        <v>0.89984251968503937</v>
      </c>
      <c r="H12" s="1">
        <v>5714</v>
      </c>
      <c r="I12" s="5">
        <v>0.82499999999999996</v>
      </c>
      <c r="J12" s="5">
        <v>0.17499999999999999</v>
      </c>
      <c r="K12" s="5">
        <f t="shared" si="1"/>
        <v>0.44755905511811023</v>
      </c>
      <c r="L12" s="5">
        <f t="shared" si="2"/>
        <v>0.55244094488188977</v>
      </c>
      <c r="M12">
        <v>2842</v>
      </c>
      <c r="N12">
        <v>3508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topLeftCell="R1" workbookViewId="0">
      <selection activeCell="A8" sqref="A8"/>
    </sheetView>
  </sheetViews>
  <sheetFormatPr defaultRowHeight="14.5" x14ac:dyDescent="0.35"/>
  <cols>
    <col min="1" max="1" width="49" bestFit="1" customWidth="1"/>
    <col min="2" max="2" width="9.1796875" style="1"/>
    <col min="3" max="3" width="12.54296875" style="1" bestFit="1" customWidth="1"/>
    <col min="4" max="4" width="23" style="1" bestFit="1" customWidth="1"/>
    <col min="5" max="5" width="22.1796875" style="1" bestFit="1" customWidth="1"/>
    <col min="6" max="6" width="10.453125" style="1" bestFit="1" customWidth="1"/>
    <col min="7" max="7" width="9.453125" style="1" bestFit="1" customWidth="1"/>
    <col min="8" max="8" width="7.453125" style="1" hidden="1" customWidth="1"/>
    <col min="9" max="9" width="8.81640625" style="1" bestFit="1" customWidth="1"/>
    <col min="10" max="10" width="8.7265625" style="1" bestFit="1" customWidth="1"/>
    <col min="11" max="12" width="8.7265625" style="1" hidden="1" customWidth="1"/>
    <col min="13" max="14" width="8.54296875" style="1" bestFit="1" customWidth="1"/>
  </cols>
  <sheetData>
    <row r="1" spans="1:14" s="6" customFormat="1" x14ac:dyDescent="0.35">
      <c r="A1" s="29"/>
      <c r="B1" s="39" t="s">
        <v>0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39" t="s">
        <v>6</v>
      </c>
      <c r="I1" s="39" t="s">
        <v>7</v>
      </c>
      <c r="J1" s="39" t="s">
        <v>8</v>
      </c>
      <c r="K1" s="39" t="s">
        <v>11</v>
      </c>
      <c r="L1" s="39" t="s">
        <v>12</v>
      </c>
      <c r="M1" s="39" t="s">
        <v>9</v>
      </c>
      <c r="N1" s="40" t="s">
        <v>10</v>
      </c>
    </row>
    <row r="2" spans="1:14" x14ac:dyDescent="0.35">
      <c r="A2" s="66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x14ac:dyDescent="0.35">
      <c r="A3" s="8" t="s">
        <v>36</v>
      </c>
      <c r="B3" s="9">
        <v>2</v>
      </c>
      <c r="C3" s="9">
        <v>1</v>
      </c>
      <c r="D3" s="11">
        <v>36990000</v>
      </c>
      <c r="E3" s="11">
        <v>123445.70135746605</v>
      </c>
      <c r="F3" s="12">
        <v>300</v>
      </c>
      <c r="G3" s="13">
        <v>1</v>
      </c>
      <c r="H3" s="35"/>
      <c r="I3" s="13">
        <v>1</v>
      </c>
      <c r="J3" s="13">
        <v>0</v>
      </c>
      <c r="K3" s="9"/>
      <c r="L3" s="9"/>
      <c r="M3" s="13">
        <v>1</v>
      </c>
      <c r="N3" s="14">
        <v>0</v>
      </c>
    </row>
    <row r="4" spans="1:14" x14ac:dyDescent="0.35">
      <c r="A4" s="8" t="s">
        <v>37</v>
      </c>
      <c r="B4" s="9">
        <v>36</v>
      </c>
      <c r="C4" s="9">
        <v>33</v>
      </c>
      <c r="D4" s="11">
        <v>591723318</v>
      </c>
      <c r="E4" s="11">
        <v>104436.32561671628</v>
      </c>
      <c r="F4" s="12">
        <v>5964</v>
      </c>
      <c r="G4" s="13">
        <v>0.96056289089645586</v>
      </c>
      <c r="H4" s="35"/>
      <c r="I4" s="13">
        <f>26/36</f>
        <v>0.72222222222222221</v>
      </c>
      <c r="J4" s="13">
        <f>11/36</f>
        <v>0.30555555555555558</v>
      </c>
      <c r="K4" s="9">
        <v>3623</v>
      </c>
      <c r="L4" s="9">
        <v>2341</v>
      </c>
      <c r="M4" s="13">
        <f>K4/F4</f>
        <v>0.60747820254862506</v>
      </c>
      <c r="N4" s="14">
        <f>L4/F4</f>
        <v>0.39252179745137494</v>
      </c>
    </row>
    <row r="5" spans="1:14" x14ac:dyDescent="0.35">
      <c r="A5" s="8" t="s">
        <v>38</v>
      </c>
      <c r="B5" s="9">
        <v>18</v>
      </c>
      <c r="C5" s="9">
        <v>15</v>
      </c>
      <c r="D5" s="15">
        <v>333756519</v>
      </c>
      <c r="E5" s="15">
        <v>99582.994354300987</v>
      </c>
      <c r="F5" s="12">
        <v>3091</v>
      </c>
      <c r="G5" s="13">
        <f>H5/(F5-208)</f>
        <v>0.92126257370794307</v>
      </c>
      <c r="H5" s="35">
        <v>2656</v>
      </c>
      <c r="I5" s="13">
        <f>14/18</f>
        <v>0.77777777777777779</v>
      </c>
      <c r="J5" s="13">
        <f>5/18</f>
        <v>0.27777777777777779</v>
      </c>
      <c r="K5" s="9">
        <v>1345</v>
      </c>
      <c r="L5" s="9">
        <v>1746</v>
      </c>
      <c r="M5" s="13">
        <f>K5/F5</f>
        <v>0.43513426075703654</v>
      </c>
      <c r="N5" s="14">
        <f>L5/F5</f>
        <v>0.56486573924296346</v>
      </c>
    </row>
    <row r="6" spans="1:14" x14ac:dyDescent="0.35">
      <c r="A6" s="8" t="s">
        <v>39</v>
      </c>
      <c r="B6" s="9">
        <v>4</v>
      </c>
      <c r="C6" s="9">
        <v>4</v>
      </c>
      <c r="D6" s="15">
        <v>34266799</v>
      </c>
      <c r="E6" s="15">
        <v>112005.21449275361</v>
      </c>
      <c r="F6" s="12">
        <v>515</v>
      </c>
      <c r="G6" s="13">
        <v>1</v>
      </c>
      <c r="H6" s="13"/>
      <c r="I6" s="13">
        <v>1</v>
      </c>
      <c r="J6" s="13">
        <v>0</v>
      </c>
      <c r="K6" s="9"/>
      <c r="L6" s="9"/>
      <c r="M6" s="13">
        <v>0</v>
      </c>
      <c r="N6" s="14">
        <v>1</v>
      </c>
    </row>
    <row r="7" spans="1:14" x14ac:dyDescent="0.35">
      <c r="A7" s="8" t="s">
        <v>40</v>
      </c>
      <c r="B7" s="9">
        <v>13</v>
      </c>
      <c r="C7" s="9">
        <v>13</v>
      </c>
      <c r="D7" s="15">
        <v>208700000</v>
      </c>
      <c r="E7" s="15">
        <v>103687.66925889981</v>
      </c>
      <c r="F7" s="12">
        <v>2276</v>
      </c>
      <c r="G7" s="13">
        <v>1</v>
      </c>
      <c r="H7" s="13"/>
      <c r="I7" s="13">
        <f>7/13</f>
        <v>0.53846153846153844</v>
      </c>
      <c r="J7" s="13">
        <f>6/13</f>
        <v>0.46153846153846156</v>
      </c>
      <c r="K7" s="9">
        <v>2196</v>
      </c>
      <c r="L7" s="9">
        <v>80</v>
      </c>
      <c r="M7" s="13">
        <f>K7/F7</f>
        <v>0.96485061511423553</v>
      </c>
      <c r="N7" s="14">
        <f>L7/F7</f>
        <v>3.5149384885764502E-2</v>
      </c>
    </row>
    <row r="8" spans="1:14" s="6" customFormat="1" x14ac:dyDescent="0.35">
      <c r="A8" s="16" t="s">
        <v>41</v>
      </c>
      <c r="B8" s="17">
        <f>SUM(B3,B4)</f>
        <v>38</v>
      </c>
      <c r="C8" s="17">
        <f>SUM(C3,C4)</f>
        <v>34</v>
      </c>
      <c r="D8" s="18">
        <f>SUM(D3,D5,D6,D7)</f>
        <v>613713318</v>
      </c>
      <c r="E8" s="18">
        <f>AVERAGE(E3,E5:E7)</f>
        <v>109680.39486585512</v>
      </c>
      <c r="F8" s="17">
        <f>SUM(F3,F5:F7)</f>
        <v>6182</v>
      </c>
      <c r="G8" s="22">
        <f>AVERAGE(G3,G5:G7)</f>
        <v>0.98031564342698574</v>
      </c>
      <c r="H8" s="17"/>
      <c r="I8" s="22">
        <f>AVERAGE(I3,I5:I7)</f>
        <v>0.829059829059829</v>
      </c>
      <c r="J8" s="22">
        <f t="shared" ref="J8:N8" si="0">AVERAGE(J3,J5:J7)</f>
        <v>0.18482905982905984</v>
      </c>
      <c r="K8" s="22">
        <f t="shared" si="0"/>
        <v>1770.5</v>
      </c>
      <c r="L8" s="22">
        <f t="shared" si="0"/>
        <v>913</v>
      </c>
      <c r="M8" s="22">
        <f t="shared" si="0"/>
        <v>0.59999621896781807</v>
      </c>
      <c r="N8" s="23">
        <f t="shared" si="0"/>
        <v>0.40000378103218198</v>
      </c>
    </row>
    <row r="9" spans="1:14" x14ac:dyDescent="0.35">
      <c r="A9" s="8" t="s">
        <v>42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x14ac:dyDescent="0.35">
      <c r="A10" s="36" t="s">
        <v>43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x14ac:dyDescent="0.35">
      <c r="A11" s="66" t="s">
        <v>44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1:14" x14ac:dyDescent="0.35">
      <c r="A12" s="8" t="s">
        <v>45</v>
      </c>
      <c r="B12" s="9">
        <v>19</v>
      </c>
      <c r="C12" s="9">
        <v>19</v>
      </c>
      <c r="D12" s="15">
        <v>318894149</v>
      </c>
      <c r="E12" s="15">
        <v>103359.95027980737</v>
      </c>
      <c r="F12" s="12">
        <v>3270</v>
      </c>
      <c r="G12" s="13">
        <v>0.97</v>
      </c>
      <c r="H12" s="13"/>
      <c r="I12" s="13">
        <f>15/19</f>
        <v>0.78947368421052633</v>
      </c>
      <c r="J12" s="13">
        <f>4/19</f>
        <v>0.21052631578947367</v>
      </c>
      <c r="K12" s="13"/>
      <c r="L12" s="13"/>
      <c r="M12" s="13">
        <v>0.77920489296636086</v>
      </c>
      <c r="N12" s="14">
        <v>0.22079510703363914</v>
      </c>
    </row>
    <row r="13" spans="1:14" x14ac:dyDescent="0.35">
      <c r="A13" s="8" t="s">
        <v>46</v>
      </c>
      <c r="B13" s="9">
        <v>3</v>
      </c>
      <c r="C13" s="9">
        <v>3</v>
      </c>
      <c r="D13" s="15">
        <v>58000000</v>
      </c>
      <c r="E13" s="15">
        <v>97468.13213431435</v>
      </c>
      <c r="F13" s="12">
        <v>561</v>
      </c>
      <c r="G13" s="13">
        <v>0.84</v>
      </c>
      <c r="H13" s="13"/>
      <c r="I13" s="13">
        <f>2/3</f>
        <v>0.66666666666666663</v>
      </c>
      <c r="J13" s="13">
        <f>1/3</f>
        <v>0.33333333333333331</v>
      </c>
      <c r="K13" s="13"/>
      <c r="L13" s="13"/>
      <c r="M13" s="13">
        <v>0.81</v>
      </c>
      <c r="N13" s="14">
        <v>0.19</v>
      </c>
    </row>
    <row r="14" spans="1:14" x14ac:dyDescent="0.35">
      <c r="A14" s="8" t="s">
        <v>47</v>
      </c>
      <c r="B14" s="9">
        <v>1</v>
      </c>
      <c r="C14" s="9">
        <v>1</v>
      </c>
      <c r="D14" s="15">
        <v>15000000</v>
      </c>
      <c r="E14" s="15">
        <v>96774.193548387091</v>
      </c>
      <c r="F14" s="9">
        <v>155</v>
      </c>
      <c r="G14" s="13">
        <v>1</v>
      </c>
      <c r="H14" s="13"/>
      <c r="I14" s="13">
        <v>1</v>
      </c>
      <c r="J14" s="13">
        <v>0</v>
      </c>
      <c r="K14" s="13"/>
      <c r="L14" s="13"/>
      <c r="M14" s="13">
        <v>0</v>
      </c>
      <c r="N14" s="14">
        <v>1</v>
      </c>
    </row>
    <row r="15" spans="1:14" x14ac:dyDescent="0.35">
      <c r="A15" s="8" t="s">
        <v>48</v>
      </c>
      <c r="B15" s="9">
        <v>4</v>
      </c>
      <c r="C15" s="9">
        <v>4</v>
      </c>
      <c r="D15" s="15">
        <v>50134986</v>
      </c>
      <c r="E15" s="15">
        <v>105345.1232084357</v>
      </c>
      <c r="F15" s="9">
        <v>471</v>
      </c>
      <c r="G15" s="13">
        <v>0.95</v>
      </c>
      <c r="H15" s="13"/>
      <c r="I15" s="13">
        <v>1</v>
      </c>
      <c r="J15" s="13">
        <v>0</v>
      </c>
      <c r="K15" s="13"/>
      <c r="L15" s="13"/>
      <c r="M15" s="13">
        <v>0.3503184713375796</v>
      </c>
      <c r="N15" s="14">
        <v>0.64968152866242035</v>
      </c>
    </row>
    <row r="16" spans="1:14" x14ac:dyDescent="0.35">
      <c r="A16" s="8" t="s">
        <v>49</v>
      </c>
      <c r="B16" s="9">
        <v>2</v>
      </c>
      <c r="C16" s="9">
        <v>1</v>
      </c>
      <c r="D16" s="15">
        <v>25159163</v>
      </c>
      <c r="E16" s="15">
        <v>83384.966008771924</v>
      </c>
      <c r="F16" s="9">
        <v>302</v>
      </c>
      <c r="G16" s="13">
        <v>1</v>
      </c>
      <c r="H16" s="13"/>
      <c r="I16" s="13">
        <v>1</v>
      </c>
      <c r="J16" s="13">
        <v>0</v>
      </c>
      <c r="K16" s="13"/>
      <c r="L16" s="13"/>
      <c r="M16" s="13">
        <v>0.49668874172185429</v>
      </c>
      <c r="N16" s="14">
        <v>0.50331125827814571</v>
      </c>
    </row>
    <row r="17" spans="1:14" x14ac:dyDescent="0.35">
      <c r="A17" s="8" t="s">
        <v>50</v>
      </c>
      <c r="B17" s="9">
        <v>9</v>
      </c>
      <c r="C17" s="9">
        <v>9</v>
      </c>
      <c r="D17" s="15">
        <v>170600000</v>
      </c>
      <c r="E17" s="15">
        <v>110393.76127923946</v>
      </c>
      <c r="F17" s="37">
        <v>1781</v>
      </c>
      <c r="G17" s="13">
        <v>1</v>
      </c>
      <c r="H17" s="13"/>
      <c r="I17" s="13">
        <f>6/9</f>
        <v>0.66666666666666663</v>
      </c>
      <c r="J17" s="13">
        <f>3/9</f>
        <v>0.33333333333333331</v>
      </c>
      <c r="K17" s="13"/>
      <c r="L17" s="13"/>
      <c r="M17" s="13">
        <v>1</v>
      </c>
      <c r="N17" s="14">
        <v>0</v>
      </c>
    </row>
    <row r="18" spans="1:14" x14ac:dyDescent="0.35">
      <c r="A18" s="8" t="s">
        <v>51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x14ac:dyDescent="0.35">
      <c r="A19" s="36" t="s">
        <v>43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4" x14ac:dyDescent="0.35">
      <c r="A20" s="66" t="s">
        <v>52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</row>
    <row r="21" spans="1:14" x14ac:dyDescent="0.35">
      <c r="A21" s="8" t="s">
        <v>53</v>
      </c>
      <c r="B21" s="9">
        <v>38</v>
      </c>
      <c r="C21" s="9">
        <v>18</v>
      </c>
      <c r="D21" s="15">
        <v>619924866.88913763</v>
      </c>
      <c r="E21" s="15">
        <v>105329.47322961675</v>
      </c>
      <c r="F21" s="37">
        <v>6124</v>
      </c>
      <c r="G21" s="13">
        <v>0.99</v>
      </c>
      <c r="H21" s="13"/>
      <c r="I21" s="13">
        <f>23/38</f>
        <v>0.60526315789473684</v>
      </c>
      <c r="J21" s="13">
        <f>14/38</f>
        <v>0.36842105263157893</v>
      </c>
      <c r="K21" s="13"/>
      <c r="L21" s="13"/>
      <c r="M21" s="13">
        <v>0.68</v>
      </c>
      <c r="N21" s="14">
        <v>0.31</v>
      </c>
    </row>
    <row r="22" spans="1:14" x14ac:dyDescent="0.35">
      <c r="A22" s="8" t="s">
        <v>46</v>
      </c>
      <c r="B22" s="9">
        <v>3</v>
      </c>
      <c r="C22" s="9">
        <v>1</v>
      </c>
      <c r="D22" s="15">
        <v>18000000</v>
      </c>
      <c r="E22" s="15">
        <v>112904.08055113937</v>
      </c>
      <c r="F22" s="9">
        <v>179</v>
      </c>
      <c r="G22" s="13">
        <v>1</v>
      </c>
      <c r="H22" s="13"/>
      <c r="I22" s="13">
        <v>0</v>
      </c>
      <c r="J22" s="13">
        <v>1</v>
      </c>
      <c r="K22" s="13"/>
      <c r="L22" s="13"/>
      <c r="M22" s="13">
        <v>0</v>
      </c>
      <c r="N22" s="14">
        <v>1</v>
      </c>
    </row>
    <row r="23" spans="1:14" x14ac:dyDescent="0.35">
      <c r="A23" s="8" t="s">
        <v>54</v>
      </c>
      <c r="B23" s="9">
        <v>3</v>
      </c>
      <c r="C23" s="9">
        <v>3</v>
      </c>
      <c r="D23" s="15">
        <v>36000000</v>
      </c>
      <c r="E23" s="15">
        <v>119316.42001409443</v>
      </c>
      <c r="F23" s="9">
        <v>296</v>
      </c>
      <c r="G23" s="13">
        <v>1</v>
      </c>
      <c r="H23" s="13"/>
      <c r="I23" s="13">
        <v>1</v>
      </c>
      <c r="J23" s="13">
        <v>0</v>
      </c>
      <c r="K23" s="13"/>
      <c r="L23" s="13"/>
      <c r="M23" s="13">
        <v>0.3716216216216216</v>
      </c>
      <c r="N23" s="14">
        <v>0.6283783783783784</v>
      </c>
    </row>
    <row r="24" spans="1:14" x14ac:dyDescent="0.35">
      <c r="A24" s="8" t="s">
        <v>48</v>
      </c>
      <c r="B24" s="9">
        <v>4</v>
      </c>
      <c r="C24" s="9">
        <v>3</v>
      </c>
      <c r="D24" s="15">
        <v>70100000</v>
      </c>
      <c r="E24" s="15">
        <v>101479.70491388044</v>
      </c>
      <c r="F24" s="9">
        <v>754</v>
      </c>
      <c r="G24" s="13">
        <v>0.89</v>
      </c>
      <c r="H24" s="13"/>
      <c r="I24" s="13">
        <v>1</v>
      </c>
      <c r="J24" s="13">
        <v>0</v>
      </c>
      <c r="K24" s="13"/>
      <c r="L24" s="13"/>
      <c r="M24" s="13">
        <v>0.21220159151193635</v>
      </c>
      <c r="N24" s="14">
        <v>0.78779840848806371</v>
      </c>
    </row>
    <row r="25" spans="1:14" x14ac:dyDescent="0.35">
      <c r="A25" s="8" t="s">
        <v>49</v>
      </c>
      <c r="B25" s="9">
        <v>7</v>
      </c>
      <c r="C25" s="9">
        <v>3</v>
      </c>
      <c r="D25" s="15">
        <v>113319163</v>
      </c>
      <c r="E25" s="15">
        <v>90538.184894496662</v>
      </c>
      <c r="F25" s="37">
        <v>1245</v>
      </c>
      <c r="G25" s="13">
        <v>1</v>
      </c>
      <c r="H25" s="13"/>
      <c r="I25" s="13">
        <f>5/7</f>
        <v>0.7142857142857143</v>
      </c>
      <c r="J25" s="13">
        <f>2/7</f>
        <v>0.2857142857142857</v>
      </c>
      <c r="K25" s="13"/>
      <c r="L25" s="13"/>
      <c r="M25" s="13">
        <v>0.26506024096385544</v>
      </c>
      <c r="N25" s="14">
        <v>0.73493975903614461</v>
      </c>
    </row>
    <row r="26" spans="1:14" x14ac:dyDescent="0.35">
      <c r="A26" s="24" t="s">
        <v>55</v>
      </c>
      <c r="B26" s="25">
        <v>21</v>
      </c>
      <c r="C26" s="25">
        <v>11</v>
      </c>
      <c r="D26" s="26">
        <v>382505703.88913763</v>
      </c>
      <c r="E26" s="26">
        <v>107912.96986251125</v>
      </c>
      <c r="F26" s="38">
        <v>3650</v>
      </c>
      <c r="G26" s="27">
        <v>1</v>
      </c>
      <c r="H26" s="25"/>
      <c r="I26" s="27">
        <f>11/21</f>
        <v>0.52380952380952384</v>
      </c>
      <c r="J26" s="27">
        <f>9/11</f>
        <v>0.81818181818181823</v>
      </c>
      <c r="K26" s="27"/>
      <c r="L26" s="27"/>
      <c r="M26" s="27">
        <v>1</v>
      </c>
      <c r="N26" s="28">
        <v>0</v>
      </c>
    </row>
  </sheetData>
  <mergeCells count="3">
    <mergeCell ref="A11:N11"/>
    <mergeCell ref="A20:N20"/>
    <mergeCell ref="A2:N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5"/>
  <sheetViews>
    <sheetView topLeftCell="B4" workbookViewId="0">
      <selection activeCell="A8" sqref="A8"/>
    </sheetView>
  </sheetViews>
  <sheetFormatPr defaultRowHeight="14.5" x14ac:dyDescent="0.35"/>
  <cols>
    <col min="1" max="1" width="20" bestFit="1" customWidth="1"/>
    <col min="2" max="2" width="8.54296875" style="1" bestFit="1" customWidth="1"/>
    <col min="3" max="3" width="11.54296875" style="1" bestFit="1" customWidth="1"/>
    <col min="4" max="4" width="21.453125" style="1" bestFit="1" customWidth="1"/>
    <col min="5" max="5" width="20.54296875" style="1" bestFit="1" customWidth="1"/>
    <col min="6" max="6" width="9.7265625" style="1" bestFit="1" customWidth="1"/>
    <col min="7" max="7" width="9" style="1" bestFit="1" customWidth="1"/>
    <col min="8" max="8" width="8.26953125" style="1" bestFit="1" customWidth="1"/>
    <col min="9" max="9" width="8.1796875" style="1" bestFit="1" customWidth="1"/>
    <col min="10" max="10" width="7.26953125" style="1" bestFit="1" customWidth="1"/>
    <col min="11" max="11" width="8.1796875" style="1" bestFit="1" customWidth="1"/>
  </cols>
  <sheetData>
    <row r="1" spans="1:11" s="6" customFormat="1" x14ac:dyDescent="0.35">
      <c r="A1" s="29"/>
      <c r="B1" s="39" t="s">
        <v>0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39" t="s">
        <v>7</v>
      </c>
      <c r="I1" s="39" t="s">
        <v>8</v>
      </c>
      <c r="J1" s="39" t="s">
        <v>9</v>
      </c>
      <c r="K1" s="40" t="s">
        <v>10</v>
      </c>
    </row>
    <row r="2" spans="1:11" x14ac:dyDescent="0.35">
      <c r="A2" s="66" t="s">
        <v>56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x14ac:dyDescent="0.35">
      <c r="A3" s="8" t="s">
        <v>57</v>
      </c>
      <c r="B3" s="9">
        <v>2</v>
      </c>
      <c r="C3" s="9">
        <v>1</v>
      </c>
      <c r="D3" s="11">
        <v>36990000</v>
      </c>
      <c r="E3" s="11">
        <v>123445.70135746605</v>
      </c>
      <c r="F3" s="12">
        <v>300</v>
      </c>
      <c r="G3" s="13">
        <v>1</v>
      </c>
      <c r="H3" s="13">
        <v>1</v>
      </c>
      <c r="I3" s="13">
        <v>0</v>
      </c>
      <c r="J3" s="13">
        <v>1</v>
      </c>
      <c r="K3" s="14">
        <v>0</v>
      </c>
    </row>
    <row r="4" spans="1:11" x14ac:dyDescent="0.35">
      <c r="A4" s="8" t="s">
        <v>58</v>
      </c>
      <c r="B4" s="9">
        <v>7</v>
      </c>
      <c r="C4" s="9">
        <v>6</v>
      </c>
      <c r="D4" s="15">
        <v>108700000</v>
      </c>
      <c r="E4" s="15">
        <v>96778.666471221644</v>
      </c>
      <c r="F4" s="9">
        <v>1149</v>
      </c>
      <c r="G4" s="13">
        <v>0.87</v>
      </c>
      <c r="H4" s="13">
        <f>5/7</f>
        <v>0.7142857142857143</v>
      </c>
      <c r="I4" s="13">
        <f>2/7</f>
        <v>0.2857142857142857</v>
      </c>
      <c r="J4" s="13">
        <v>0</v>
      </c>
      <c r="K4" s="14">
        <v>1</v>
      </c>
    </row>
    <row r="5" spans="1:11" x14ac:dyDescent="0.35">
      <c r="A5" s="8" t="s">
        <v>59</v>
      </c>
      <c r="B5" s="9">
        <f>SUM(B6:B8)</f>
        <v>30</v>
      </c>
      <c r="C5" s="9">
        <v>28</v>
      </c>
      <c r="D5" s="15">
        <v>489023318</v>
      </c>
      <c r="E5" s="15">
        <v>105089.24734989599</v>
      </c>
      <c r="F5" s="9">
        <v>4901</v>
      </c>
      <c r="G5" s="13">
        <v>0.98</v>
      </c>
      <c r="H5" s="13">
        <f>22/31</f>
        <v>0.70967741935483875</v>
      </c>
      <c r="I5" s="13">
        <f>9/31</f>
        <v>0.29032258064516131</v>
      </c>
      <c r="J5" s="13">
        <v>0.74</v>
      </c>
      <c r="K5" s="14">
        <v>0.26</v>
      </c>
    </row>
    <row r="6" spans="1:11" x14ac:dyDescent="0.35">
      <c r="A6" s="8" t="s">
        <v>60</v>
      </c>
      <c r="B6" s="9">
        <v>11</v>
      </c>
      <c r="C6" s="9">
        <v>8</v>
      </c>
      <c r="D6" s="15">
        <v>100473318</v>
      </c>
      <c r="E6" s="15">
        <v>88603.768127186428</v>
      </c>
      <c r="F6" s="9">
        <v>1198</v>
      </c>
      <c r="G6" s="13">
        <v>1</v>
      </c>
      <c r="H6" s="13">
        <f>8/11</f>
        <v>0.72727272727272729</v>
      </c>
      <c r="I6" s="13">
        <f>3/11</f>
        <v>0.27272727272727271</v>
      </c>
      <c r="J6" s="13">
        <v>0</v>
      </c>
      <c r="K6" s="14">
        <v>1</v>
      </c>
    </row>
    <row r="7" spans="1:11" x14ac:dyDescent="0.35">
      <c r="A7" s="8" t="s">
        <v>38</v>
      </c>
      <c r="B7" s="9">
        <v>5</v>
      </c>
      <c r="C7" s="9">
        <v>5</v>
      </c>
      <c r="D7" s="15">
        <v>144050000</v>
      </c>
      <c r="E7" s="15">
        <v>122404</v>
      </c>
      <c r="F7" s="9">
        <v>1175</v>
      </c>
      <c r="G7" s="13">
        <v>0.91</v>
      </c>
      <c r="H7" s="13">
        <v>1</v>
      </c>
      <c r="I7" s="13">
        <v>0</v>
      </c>
      <c r="J7" s="13">
        <v>1</v>
      </c>
      <c r="K7" s="14">
        <v>0</v>
      </c>
    </row>
    <row r="8" spans="1:11" x14ac:dyDescent="0.35">
      <c r="A8" s="8" t="s">
        <v>61</v>
      </c>
      <c r="B8" s="9">
        <v>14</v>
      </c>
      <c r="C8" s="9">
        <v>14</v>
      </c>
      <c r="D8" s="15">
        <v>223700000</v>
      </c>
      <c r="E8" s="15">
        <v>109782.98925962235</v>
      </c>
      <c r="F8" s="9">
        <v>2358</v>
      </c>
      <c r="G8" s="13">
        <v>1</v>
      </c>
      <c r="H8" s="13">
        <f>8/14</f>
        <v>0.5714285714285714</v>
      </c>
      <c r="I8" s="13">
        <f>6/14</f>
        <v>0.42857142857142855</v>
      </c>
      <c r="J8" s="13">
        <v>0.97</v>
      </c>
      <c r="K8" s="14">
        <v>0.03</v>
      </c>
    </row>
    <row r="9" spans="1:11" s="6" customFormat="1" x14ac:dyDescent="0.35">
      <c r="A9" s="16" t="s">
        <v>41</v>
      </c>
      <c r="B9" s="17">
        <f>SUM(B3:B5)</f>
        <v>39</v>
      </c>
      <c r="C9" s="17">
        <v>34</v>
      </c>
      <c r="D9" s="18">
        <f>SUM(D3:D5)</f>
        <v>634713318</v>
      </c>
      <c r="E9" s="18">
        <f>AVERAGE(E3:E5)</f>
        <v>108437.87172619457</v>
      </c>
      <c r="F9" s="19">
        <f>SUM(F3:F5)</f>
        <v>6350</v>
      </c>
      <c r="G9" s="20">
        <f>AVERAGE(G3:G5)</f>
        <v>0.95000000000000007</v>
      </c>
      <c r="H9" s="20">
        <f>AVERAGE(H3:H5)</f>
        <v>0.80798771121351776</v>
      </c>
      <c r="I9" s="20">
        <f t="shared" ref="I9:K9" si="0">AVERAGE(I3:I5)</f>
        <v>0.19201228878648235</v>
      </c>
      <c r="J9" s="20">
        <f t="shared" si="0"/>
        <v>0.57999999999999996</v>
      </c>
      <c r="K9" s="21">
        <f t="shared" si="0"/>
        <v>0.42</v>
      </c>
    </row>
    <row r="10" spans="1:11" s="6" customFormat="1" x14ac:dyDescent="0.35">
      <c r="A10" s="66" t="s">
        <v>62</v>
      </c>
      <c r="B10" s="67"/>
      <c r="C10" s="67"/>
      <c r="D10" s="67"/>
      <c r="E10" s="67"/>
      <c r="F10" s="67"/>
      <c r="G10" s="67"/>
      <c r="H10" s="67"/>
      <c r="I10" s="67"/>
      <c r="J10" s="67"/>
      <c r="K10" s="68"/>
    </row>
    <row r="11" spans="1:11" x14ac:dyDescent="0.35">
      <c r="A11" s="8" t="s">
        <v>63</v>
      </c>
      <c r="B11" s="9">
        <v>6</v>
      </c>
      <c r="C11" s="9">
        <v>3</v>
      </c>
      <c r="D11" s="15">
        <v>76000000</v>
      </c>
      <c r="E11" s="15">
        <v>105186.10634272685</v>
      </c>
      <c r="F11" s="9">
        <v>740</v>
      </c>
      <c r="G11" s="13">
        <v>0.88</v>
      </c>
      <c r="H11" s="13">
        <f>2/6</f>
        <v>0.33333333333333331</v>
      </c>
      <c r="I11" s="13">
        <f>4/6</f>
        <v>0.66666666666666663</v>
      </c>
      <c r="J11" s="13">
        <v>0.61</v>
      </c>
      <c r="K11" s="14">
        <v>0.39</v>
      </c>
    </row>
    <row r="12" spans="1:11" x14ac:dyDescent="0.35">
      <c r="A12" s="8" t="s">
        <v>64</v>
      </c>
      <c r="B12" s="9">
        <v>8</v>
      </c>
      <c r="C12" s="9">
        <v>5</v>
      </c>
      <c r="D12" s="15">
        <v>113234986</v>
      </c>
      <c r="E12" s="15">
        <v>101759.18825470647</v>
      </c>
      <c r="F12" s="9">
        <v>1180</v>
      </c>
      <c r="G12" s="13">
        <v>0.91</v>
      </c>
      <c r="H12" s="13">
        <v>1</v>
      </c>
      <c r="I12" s="13">
        <v>0</v>
      </c>
      <c r="J12" s="13">
        <v>0.28000000000000003</v>
      </c>
      <c r="K12" s="14">
        <v>0.72</v>
      </c>
    </row>
    <row r="13" spans="1:11" x14ac:dyDescent="0.35">
      <c r="A13" s="8" t="s">
        <v>65</v>
      </c>
      <c r="B13" s="9">
        <v>5</v>
      </c>
      <c r="C13" s="9">
        <v>5</v>
      </c>
      <c r="D13" s="15">
        <v>65134986</v>
      </c>
      <c r="E13" s="15">
        <v>103630.93727642598</v>
      </c>
      <c r="F13" s="9">
        <v>626</v>
      </c>
      <c r="G13" s="13">
        <v>0.96</v>
      </c>
      <c r="H13" s="13">
        <v>1</v>
      </c>
      <c r="I13" s="13">
        <v>0</v>
      </c>
      <c r="J13" s="13">
        <v>0.26</v>
      </c>
      <c r="K13" s="14">
        <v>0.74</v>
      </c>
    </row>
    <row r="14" spans="1:11" x14ac:dyDescent="0.35">
      <c r="A14" s="8" t="s">
        <v>38</v>
      </c>
      <c r="B14" s="9">
        <v>1</v>
      </c>
      <c r="C14" s="9">
        <v>1</v>
      </c>
      <c r="D14" s="15">
        <v>16500000</v>
      </c>
      <c r="E14" s="15">
        <v>103125</v>
      </c>
      <c r="F14" s="9">
        <v>160</v>
      </c>
      <c r="G14" s="13">
        <v>0.5</v>
      </c>
      <c r="H14" s="13">
        <v>1</v>
      </c>
      <c r="I14" s="13">
        <v>0</v>
      </c>
      <c r="J14" s="13">
        <v>1</v>
      </c>
      <c r="K14" s="14">
        <v>0</v>
      </c>
    </row>
    <row r="15" spans="1:11" x14ac:dyDescent="0.35">
      <c r="A15" s="8" t="s">
        <v>66</v>
      </c>
      <c r="B15" s="9">
        <v>2</v>
      </c>
      <c r="C15" s="9">
        <v>1</v>
      </c>
      <c r="D15" s="15">
        <v>31600000</v>
      </c>
      <c r="E15" s="15">
        <v>96396.909827760886</v>
      </c>
      <c r="F15" s="9">
        <v>394</v>
      </c>
      <c r="G15" s="13">
        <v>1</v>
      </c>
      <c r="H15" s="13">
        <v>1</v>
      </c>
      <c r="I15" s="13">
        <v>0</v>
      </c>
      <c r="J15" s="13">
        <v>0</v>
      </c>
      <c r="K15" s="14">
        <v>1</v>
      </c>
    </row>
    <row r="16" spans="1:11" s="6" customFormat="1" x14ac:dyDescent="0.35">
      <c r="A16" s="16" t="s">
        <v>41</v>
      </c>
      <c r="B16" s="17">
        <v>14</v>
      </c>
      <c r="C16" s="17">
        <v>9</v>
      </c>
      <c r="D16" s="18">
        <f>SUM(D11:D12)</f>
        <v>189234986</v>
      </c>
      <c r="E16" s="18">
        <f>AVERAGE(E11:E12)</f>
        <v>103472.64729871666</v>
      </c>
      <c r="F16" s="17">
        <f>SUM(F11:F12)</f>
        <v>1920</v>
      </c>
      <c r="G16" s="22">
        <f>AVERAGE(G11:G12)</f>
        <v>0.89500000000000002</v>
      </c>
      <c r="H16" s="22">
        <f t="shared" ref="H16:K16" si="1">AVERAGE(H11:H12)</f>
        <v>0.66666666666666663</v>
      </c>
      <c r="I16" s="22">
        <f t="shared" si="1"/>
        <v>0.33333333333333331</v>
      </c>
      <c r="J16" s="22">
        <f t="shared" si="1"/>
        <v>0.44500000000000001</v>
      </c>
      <c r="K16" s="23">
        <f t="shared" si="1"/>
        <v>0.55499999999999994</v>
      </c>
    </row>
    <row r="17" spans="1:11" x14ac:dyDescent="0.35">
      <c r="A17" s="66" t="s">
        <v>67</v>
      </c>
      <c r="B17" s="67"/>
      <c r="C17" s="67"/>
      <c r="D17" s="67"/>
      <c r="E17" s="67"/>
      <c r="F17" s="67"/>
      <c r="G17" s="67"/>
      <c r="H17" s="67"/>
      <c r="I17" s="67"/>
      <c r="J17" s="67"/>
      <c r="K17" s="68"/>
    </row>
    <row r="18" spans="1:11" x14ac:dyDescent="0.35">
      <c r="A18" s="8" t="s">
        <v>68</v>
      </c>
      <c r="B18" s="9">
        <v>10</v>
      </c>
      <c r="C18" s="9">
        <v>10</v>
      </c>
      <c r="D18" s="15">
        <v>205740000</v>
      </c>
      <c r="E18" s="15">
        <v>106841.25771722649</v>
      </c>
      <c r="F18" s="9">
        <v>1978</v>
      </c>
      <c r="G18" s="13">
        <v>1</v>
      </c>
      <c r="H18" s="13">
        <f>8/10</f>
        <v>0.8</v>
      </c>
      <c r="I18" s="13">
        <f>2/10</f>
        <v>0.2</v>
      </c>
      <c r="J18" s="13">
        <v>1</v>
      </c>
      <c r="K18" s="14">
        <v>0</v>
      </c>
    </row>
    <row r="19" spans="1:11" x14ac:dyDescent="0.35">
      <c r="A19" s="8" t="s">
        <v>69</v>
      </c>
      <c r="B19" s="9">
        <v>30</v>
      </c>
      <c r="C19" s="9">
        <v>15</v>
      </c>
      <c r="D19" s="15">
        <v>496013742</v>
      </c>
      <c r="E19" s="15">
        <v>106378</v>
      </c>
      <c r="F19" s="9">
        <v>5074</v>
      </c>
      <c r="G19" s="13">
        <v>1</v>
      </c>
      <c r="H19" s="13">
        <f>17/30</f>
        <v>0.56666666666666665</v>
      </c>
      <c r="I19" s="13">
        <f>13/30</f>
        <v>0.43333333333333335</v>
      </c>
      <c r="J19" s="13">
        <v>0.78</v>
      </c>
      <c r="K19" s="14">
        <v>0.2</v>
      </c>
    </row>
    <row r="20" spans="1:11" s="6" customFormat="1" x14ac:dyDescent="0.35">
      <c r="A20" s="30" t="s">
        <v>41</v>
      </c>
      <c r="B20" s="31">
        <f>SUM(B18:B19)</f>
        <v>40</v>
      </c>
      <c r="C20" s="31">
        <v>18</v>
      </c>
      <c r="D20" s="32">
        <f>SUM(D18:D19)</f>
        <v>701753742</v>
      </c>
      <c r="E20" s="32">
        <f>AVERAGE(E18:E19)</f>
        <v>106609.62885861324</v>
      </c>
      <c r="F20" s="31">
        <f>SUM(F18:F19)</f>
        <v>7052</v>
      </c>
      <c r="G20" s="33">
        <f>AVERAGE(G18:G19)</f>
        <v>1</v>
      </c>
      <c r="H20" s="33">
        <f t="shared" ref="H20:K20" si="2">AVERAGE(H18:H19)</f>
        <v>0.68333333333333335</v>
      </c>
      <c r="I20" s="33">
        <f t="shared" si="2"/>
        <v>0.31666666666666665</v>
      </c>
      <c r="J20" s="33">
        <f t="shared" si="2"/>
        <v>0.89</v>
      </c>
      <c r="K20" s="34">
        <f t="shared" si="2"/>
        <v>0.1</v>
      </c>
    </row>
    <row r="21" spans="1:11" x14ac:dyDescent="0.35">
      <c r="D21" s="7"/>
      <c r="E21" s="7"/>
      <c r="G21" s="2"/>
      <c r="H21" s="2"/>
      <c r="I21" s="2"/>
      <c r="J21" s="2"/>
      <c r="K21" s="2"/>
    </row>
    <row r="22" spans="1:11" x14ac:dyDescent="0.35">
      <c r="D22" s="7"/>
      <c r="E22" s="7"/>
      <c r="G22" s="2"/>
      <c r="H22" s="2"/>
      <c r="I22" s="2"/>
      <c r="J22" s="2"/>
      <c r="K22" s="2"/>
    </row>
    <row r="23" spans="1:11" x14ac:dyDescent="0.35">
      <c r="G23" s="2"/>
      <c r="H23" s="2"/>
      <c r="I23" s="2"/>
      <c r="J23" s="2"/>
      <c r="K23" s="2"/>
    </row>
    <row r="24" spans="1:11" x14ac:dyDescent="0.35">
      <c r="G24" s="2"/>
      <c r="H24" s="2"/>
      <c r="I24" s="2"/>
      <c r="J24" s="2"/>
      <c r="K24" s="2"/>
    </row>
    <row r="25" spans="1:11" x14ac:dyDescent="0.35">
      <c r="G25" s="2"/>
      <c r="H25" s="2"/>
      <c r="I25" s="2"/>
      <c r="J25" s="2"/>
      <c r="K25" s="2"/>
    </row>
  </sheetData>
  <mergeCells count="3">
    <mergeCell ref="A2:K2"/>
    <mergeCell ref="A10:K10"/>
    <mergeCell ref="A17:K17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"/>
  <sheetViews>
    <sheetView workbookViewId="0">
      <selection activeCell="A8" sqref="A8"/>
    </sheetView>
  </sheetViews>
  <sheetFormatPr defaultRowHeight="14.5" x14ac:dyDescent="0.35"/>
  <cols>
    <col min="1" max="1" width="39.81640625" bestFit="1" customWidth="1"/>
    <col min="2" max="2" width="14.7265625" customWidth="1"/>
    <col min="3" max="3" width="12.54296875" bestFit="1" customWidth="1"/>
    <col min="4" max="4" width="23" bestFit="1" customWidth="1"/>
    <col min="5" max="5" width="22.26953125" bestFit="1" customWidth="1"/>
    <col min="6" max="6" width="10.54296875" bestFit="1" customWidth="1"/>
    <col min="7" max="7" width="9.54296875" bestFit="1" customWidth="1"/>
    <col min="8" max="8" width="8.81640625" bestFit="1" customWidth="1"/>
    <col min="9" max="9" width="8.7265625" bestFit="1" customWidth="1"/>
    <col min="10" max="10" width="5.54296875" bestFit="1" customWidth="1"/>
    <col min="11" max="11" width="8.54296875" bestFit="1" customWidth="1"/>
  </cols>
  <sheetData>
    <row r="1" spans="1:11" x14ac:dyDescent="0.35">
      <c r="A1" s="29"/>
      <c r="B1" s="39" t="s">
        <v>0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39" t="s">
        <v>7</v>
      </c>
      <c r="I1" s="39" t="s">
        <v>8</v>
      </c>
      <c r="J1" s="39" t="s">
        <v>9</v>
      </c>
      <c r="K1" s="40" t="s">
        <v>10</v>
      </c>
    </row>
    <row r="2" spans="1:11" x14ac:dyDescent="0.35">
      <c r="A2" s="66" t="s">
        <v>70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27.75" customHeight="1" x14ac:dyDescent="0.35">
      <c r="A3" s="41" t="s">
        <v>71</v>
      </c>
      <c r="B3" s="42" t="s">
        <v>72</v>
      </c>
      <c r="C3" s="43">
        <v>2</v>
      </c>
      <c r="D3" s="11">
        <v>56800000</v>
      </c>
      <c r="E3" s="11">
        <v>107595.13155897398</v>
      </c>
      <c r="F3" s="12">
        <v>548</v>
      </c>
      <c r="G3" s="13">
        <v>1</v>
      </c>
      <c r="H3" s="13">
        <f>1/6</f>
        <v>0.16666666666666666</v>
      </c>
      <c r="I3" s="13">
        <f>5/6</f>
        <v>0.83333333333333337</v>
      </c>
      <c r="J3" s="13">
        <f>260/548</f>
        <v>0.47445255474452552</v>
      </c>
      <c r="K3" s="14">
        <f>288/548</f>
        <v>0.52554744525547448</v>
      </c>
    </row>
    <row r="4" spans="1:11" x14ac:dyDescent="0.35">
      <c r="A4" s="8" t="s">
        <v>73</v>
      </c>
      <c r="B4" s="9"/>
      <c r="C4" s="9"/>
      <c r="D4" s="15"/>
      <c r="E4" s="15"/>
      <c r="F4" s="9"/>
      <c r="G4" s="13"/>
      <c r="H4" s="13"/>
      <c r="I4" s="13"/>
      <c r="J4" s="13"/>
      <c r="K4" s="14"/>
    </row>
    <row r="5" spans="1:11" x14ac:dyDescent="0.35">
      <c r="A5" s="8" t="s">
        <v>74</v>
      </c>
      <c r="B5" s="9">
        <v>7</v>
      </c>
      <c r="C5" s="9">
        <v>6</v>
      </c>
      <c r="D5" s="15">
        <v>108700000</v>
      </c>
      <c r="E5" s="15">
        <v>96778.666471221644</v>
      </c>
      <c r="F5" s="9">
        <v>1149</v>
      </c>
      <c r="G5" s="13">
        <v>0.87</v>
      </c>
      <c r="H5" s="13">
        <f>5/7</f>
        <v>0.7142857142857143</v>
      </c>
      <c r="I5" s="13">
        <f>2/7</f>
        <v>0.2857142857142857</v>
      </c>
      <c r="J5" s="13">
        <v>0</v>
      </c>
      <c r="K5" s="14">
        <v>1</v>
      </c>
    </row>
    <row r="6" spans="1:11" x14ac:dyDescent="0.35">
      <c r="A6" s="8" t="s">
        <v>75</v>
      </c>
      <c r="B6" s="9">
        <v>11</v>
      </c>
      <c r="C6" s="9">
        <v>8</v>
      </c>
      <c r="D6" s="15">
        <v>100473318</v>
      </c>
      <c r="E6" s="15">
        <v>88603.768127186413</v>
      </c>
      <c r="F6" s="9">
        <v>1198</v>
      </c>
      <c r="G6" s="13">
        <v>1</v>
      </c>
      <c r="H6" s="13">
        <f>8/11</f>
        <v>0.72727272727272729</v>
      </c>
      <c r="I6" s="13">
        <f>3/11</f>
        <v>0.27272727272727271</v>
      </c>
      <c r="J6" s="13">
        <v>0</v>
      </c>
      <c r="K6" s="14">
        <v>1</v>
      </c>
    </row>
    <row r="7" spans="1:11" x14ac:dyDescent="0.35">
      <c r="A7" s="8" t="s">
        <v>76</v>
      </c>
      <c r="B7" s="9">
        <v>5</v>
      </c>
      <c r="C7" s="9">
        <v>5</v>
      </c>
      <c r="D7" s="15">
        <v>144050000</v>
      </c>
      <c r="E7" s="15">
        <v>122403.73806471171</v>
      </c>
      <c r="F7" s="9">
        <v>1175</v>
      </c>
      <c r="G7" s="13">
        <v>0.91</v>
      </c>
      <c r="H7" s="13">
        <v>1</v>
      </c>
      <c r="I7" s="13">
        <v>0</v>
      </c>
      <c r="J7" s="13">
        <v>1</v>
      </c>
      <c r="K7" s="14">
        <v>0</v>
      </c>
    </row>
    <row r="8" spans="1:11" x14ac:dyDescent="0.35">
      <c r="A8" s="8" t="s">
        <v>77</v>
      </c>
      <c r="B8" s="9">
        <v>13</v>
      </c>
      <c r="C8" s="9">
        <v>13</v>
      </c>
      <c r="D8" s="15">
        <v>213700000</v>
      </c>
      <c r="E8" s="15">
        <v>109672.31243866496</v>
      </c>
      <c r="F8" s="9">
        <v>2268</v>
      </c>
      <c r="G8" s="13">
        <v>1</v>
      </c>
      <c r="H8" s="13">
        <f>8/13</f>
        <v>0.61538461538461542</v>
      </c>
      <c r="I8" s="13">
        <f>5/13</f>
        <v>0.38461538461538464</v>
      </c>
      <c r="J8" s="13">
        <v>1</v>
      </c>
      <c r="K8" s="14">
        <v>0</v>
      </c>
    </row>
    <row r="9" spans="1:11" x14ac:dyDescent="0.35">
      <c r="A9" s="16" t="s">
        <v>41</v>
      </c>
      <c r="B9" s="17">
        <f>SUM(B5:B8)+6</f>
        <v>42</v>
      </c>
      <c r="C9" s="17">
        <v>34</v>
      </c>
      <c r="D9" s="18">
        <f>SUM(D3:D8)</f>
        <v>623723318</v>
      </c>
      <c r="E9" s="18">
        <f>AVERAGE(E3:E8)</f>
        <v>105010.72333215174</v>
      </c>
      <c r="F9" s="19">
        <f>SUM(F3:F8)</f>
        <v>6338</v>
      </c>
      <c r="G9" s="20">
        <f>AVERAGE(G3:G8)</f>
        <v>0.95600000000000007</v>
      </c>
      <c r="H9" s="20">
        <f t="shared" ref="H9:K9" si="0">AVERAGE(H3:H8)</f>
        <v>0.64472194472194466</v>
      </c>
      <c r="I9" s="20">
        <f t="shared" si="0"/>
        <v>0.35527805527805528</v>
      </c>
      <c r="J9" s="20">
        <f t="shared" si="0"/>
        <v>0.49489051094890507</v>
      </c>
      <c r="K9" s="20">
        <f t="shared" si="0"/>
        <v>0.50510948905109498</v>
      </c>
    </row>
    <row r="10" spans="1:11" x14ac:dyDescent="0.35">
      <c r="A10" s="66" t="s">
        <v>78</v>
      </c>
      <c r="B10" s="67"/>
      <c r="C10" s="67"/>
      <c r="D10" s="67"/>
      <c r="E10" s="67"/>
      <c r="F10" s="67"/>
      <c r="G10" s="67"/>
      <c r="H10" s="67"/>
      <c r="I10" s="67"/>
      <c r="J10" s="67"/>
      <c r="K10" s="68"/>
    </row>
    <row r="11" spans="1:11" x14ac:dyDescent="0.35">
      <c r="A11" s="8" t="s">
        <v>79</v>
      </c>
      <c r="B11" s="9">
        <v>3</v>
      </c>
      <c r="C11" s="9">
        <v>3</v>
      </c>
      <c r="D11" s="15">
        <v>66190000</v>
      </c>
      <c r="E11" s="15">
        <v>114516.12084285352</v>
      </c>
      <c r="F11" s="9">
        <v>582</v>
      </c>
      <c r="G11" s="13">
        <v>0.85</v>
      </c>
      <c r="H11" s="13">
        <v>1</v>
      </c>
      <c r="I11" s="13">
        <v>0</v>
      </c>
      <c r="J11" s="13">
        <v>1</v>
      </c>
      <c r="K11" s="14">
        <v>0</v>
      </c>
    </row>
    <row r="12" spans="1:11" x14ac:dyDescent="0.35">
      <c r="A12" s="8" t="s">
        <v>80</v>
      </c>
      <c r="B12" s="9">
        <v>11</v>
      </c>
      <c r="C12" s="9">
        <v>7</v>
      </c>
      <c r="D12" s="15">
        <v>165234986</v>
      </c>
      <c r="E12" s="15">
        <v>110205.02947449726</v>
      </c>
      <c r="F12" s="9">
        <v>1590</v>
      </c>
      <c r="G12" s="13">
        <v>0.93</v>
      </c>
      <c r="H12" s="13">
        <v>1</v>
      </c>
      <c r="I12" s="13">
        <v>0</v>
      </c>
      <c r="J12" s="13">
        <f>435/1590</f>
        <v>0.27358490566037735</v>
      </c>
      <c r="K12" s="14">
        <f>1155/1590</f>
        <v>0.72641509433962259</v>
      </c>
    </row>
    <row r="13" spans="1:11" x14ac:dyDescent="0.35">
      <c r="A13" s="8" t="s">
        <v>81</v>
      </c>
      <c r="B13" s="9">
        <v>2</v>
      </c>
      <c r="C13" s="9">
        <v>2</v>
      </c>
      <c r="D13" s="15">
        <v>30140000</v>
      </c>
      <c r="E13" s="15">
        <v>95648.484848484848</v>
      </c>
      <c r="F13" s="9">
        <v>315</v>
      </c>
      <c r="G13" s="13">
        <v>1</v>
      </c>
      <c r="H13" s="13">
        <v>0.5</v>
      </c>
      <c r="I13" s="13">
        <v>0.5</v>
      </c>
      <c r="J13" s="13">
        <v>1</v>
      </c>
      <c r="K13" s="14">
        <v>0</v>
      </c>
    </row>
    <row r="14" spans="1:11" x14ac:dyDescent="0.35">
      <c r="A14" s="8" t="s">
        <v>82</v>
      </c>
      <c r="B14" s="9">
        <v>9</v>
      </c>
      <c r="C14" s="9">
        <v>9</v>
      </c>
      <c r="D14" s="15">
        <v>186519163</v>
      </c>
      <c r="E14" s="15">
        <v>105439.13401772286</v>
      </c>
      <c r="F14" s="9">
        <v>1815</v>
      </c>
      <c r="G14" s="13">
        <v>1</v>
      </c>
      <c r="H14" s="13">
        <f>8/9</f>
        <v>0.88888888888888884</v>
      </c>
      <c r="I14" s="13">
        <f>1/9</f>
        <v>0.1111111111111111</v>
      </c>
      <c r="J14" s="13">
        <f>8/9</f>
        <v>0.88888888888888884</v>
      </c>
      <c r="K14" s="14">
        <f>1/9</f>
        <v>0.1111111111111111</v>
      </c>
    </row>
    <row r="15" spans="1:11" x14ac:dyDescent="0.35">
      <c r="A15" s="16" t="s">
        <v>41</v>
      </c>
      <c r="B15" s="17">
        <f>SUM(B11:B14)</f>
        <v>25</v>
      </c>
      <c r="C15" s="17">
        <v>18</v>
      </c>
      <c r="D15" s="18">
        <f>SUM(D11:D14)</f>
        <v>448084149</v>
      </c>
      <c r="E15" s="18">
        <f>AVERAGE(E11:E14)</f>
        <v>106452.19229588962</v>
      </c>
      <c r="F15" s="17">
        <f>SUM(F11:F14)</f>
        <v>4302</v>
      </c>
      <c r="G15" s="22">
        <f>AVERAGE(G11:G14)</f>
        <v>0.94500000000000006</v>
      </c>
      <c r="H15" s="22">
        <f t="shared" ref="H15:K15" si="1">AVERAGE(H11:H14)</f>
        <v>0.84722222222222221</v>
      </c>
      <c r="I15" s="22">
        <f t="shared" si="1"/>
        <v>0.15277777777777779</v>
      </c>
      <c r="J15" s="22">
        <f t="shared" si="1"/>
        <v>0.79061844863731656</v>
      </c>
      <c r="K15" s="22">
        <f t="shared" si="1"/>
        <v>0.20938155136268344</v>
      </c>
    </row>
    <row r="16" spans="1:11" x14ac:dyDescent="0.35">
      <c r="A16" s="66" t="s">
        <v>83</v>
      </c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x14ac:dyDescent="0.35">
      <c r="A17" s="8" t="s">
        <v>68</v>
      </c>
      <c r="B17" s="9"/>
      <c r="C17" s="9"/>
      <c r="D17" s="15"/>
      <c r="E17" s="15"/>
      <c r="F17" s="9"/>
      <c r="G17" s="13"/>
      <c r="H17" s="13"/>
      <c r="I17" s="13"/>
      <c r="J17" s="13"/>
      <c r="K17" s="14"/>
    </row>
    <row r="18" spans="1:11" x14ac:dyDescent="0.35">
      <c r="A18" s="8" t="s">
        <v>69</v>
      </c>
      <c r="B18" s="9">
        <v>28</v>
      </c>
      <c r="C18" s="9">
        <v>14</v>
      </c>
      <c r="D18" s="15">
        <v>470094579</v>
      </c>
      <c r="E18" s="15">
        <v>106483.24683807412</v>
      </c>
      <c r="F18" s="9">
        <v>4812</v>
      </c>
      <c r="G18" s="13">
        <v>1</v>
      </c>
      <c r="H18" s="13">
        <f>14/28</f>
        <v>0.5</v>
      </c>
      <c r="I18" s="13">
        <v>0.5</v>
      </c>
      <c r="J18" s="13">
        <f>24/28</f>
        <v>0.8571428571428571</v>
      </c>
      <c r="K18" s="14">
        <f>4/28</f>
        <v>0.14285714285714285</v>
      </c>
    </row>
    <row r="19" spans="1:11" x14ac:dyDescent="0.35">
      <c r="A19" s="30" t="s">
        <v>41</v>
      </c>
      <c r="B19" s="31">
        <f>SUM(B17:B18)</f>
        <v>28</v>
      </c>
      <c r="C19" s="31">
        <v>14</v>
      </c>
      <c r="D19" s="32">
        <f>SUM(D17:D18)</f>
        <v>470094579</v>
      </c>
      <c r="E19" s="32">
        <f>AVERAGE(E17:E18)</f>
        <v>106483.24683807412</v>
      </c>
      <c r="F19" s="31">
        <f>SUM(F17:F18)</f>
        <v>4812</v>
      </c>
      <c r="G19" s="33">
        <f>AVERAGE(G17:G18)</f>
        <v>1</v>
      </c>
      <c r="H19" s="33">
        <f t="shared" ref="H19:K19" si="2">AVERAGE(H17:H18)</f>
        <v>0.5</v>
      </c>
      <c r="I19" s="33">
        <f t="shared" si="2"/>
        <v>0.5</v>
      </c>
      <c r="J19" s="33">
        <f t="shared" si="2"/>
        <v>0.8571428571428571</v>
      </c>
      <c r="K19" s="33">
        <f t="shared" si="2"/>
        <v>0.14285714285714285</v>
      </c>
    </row>
    <row r="20" spans="1:11" s="6" customFormat="1" x14ac:dyDescent="0.35">
      <c r="A20" s="6" t="s">
        <v>84</v>
      </c>
      <c r="B20" s="44">
        <f>SUM(B9,B15,B19)</f>
        <v>95</v>
      </c>
      <c r="C20" s="44">
        <v>39</v>
      </c>
      <c r="D20" s="45">
        <f>SUM(D9,D15,D19)</f>
        <v>1541902046</v>
      </c>
      <c r="E20" s="45">
        <f>AVERAGE(E9,E15,E19)</f>
        <v>105982.05415537184</v>
      </c>
      <c r="F20" s="46">
        <f>SUM(F9,F15,F19)</f>
        <v>15452</v>
      </c>
      <c r="G20" s="47">
        <f>AVERAGE(G3:G8,G11:G14,G17:G18)</f>
        <v>0.95599999999999985</v>
      </c>
      <c r="H20" s="47">
        <f>AVERAGE(H3:H8,H11:H14,H17:H18)</f>
        <v>0.71124986124986123</v>
      </c>
      <c r="I20" s="47">
        <f>AVERAGE(I3:I8,I11:I14,I17:I18)</f>
        <v>0.28875013875013872</v>
      </c>
      <c r="J20" s="47">
        <f>AVERAGE(J3:J8,J11:J14,J17:J18)</f>
        <v>0.64940692064366479</v>
      </c>
      <c r="K20" s="47">
        <f>AVERAGE(K3:K8,K11:K14,K17:K18)</f>
        <v>0.3505930793563351</v>
      </c>
    </row>
  </sheetData>
  <mergeCells count="3">
    <mergeCell ref="A2:K2"/>
    <mergeCell ref="A10:K10"/>
    <mergeCell ref="A16:K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0"/>
  <sheetViews>
    <sheetView workbookViewId="0">
      <selection activeCell="A8" sqref="A8"/>
    </sheetView>
  </sheetViews>
  <sheetFormatPr defaultRowHeight="14.5" x14ac:dyDescent="0.35"/>
  <cols>
    <col min="1" max="1" width="43.54296875" bestFit="1" customWidth="1"/>
    <col min="2" max="2" width="9.26953125" bestFit="1" customWidth="1"/>
    <col min="3" max="3" width="12.7265625" bestFit="1" customWidth="1"/>
    <col min="4" max="4" width="23.1796875" bestFit="1" customWidth="1"/>
    <col min="5" max="5" width="22.453125" bestFit="1" customWidth="1"/>
    <col min="6" max="6" width="10.7265625" bestFit="1" customWidth="1"/>
    <col min="7" max="7" width="9.7265625" bestFit="1" customWidth="1"/>
    <col min="8" max="8" width="9" bestFit="1" customWidth="1"/>
    <col min="9" max="9" width="8.81640625" bestFit="1" customWidth="1"/>
    <col min="10" max="10" width="5.7265625" bestFit="1" customWidth="1"/>
    <col min="11" max="11" width="8.7265625" bestFit="1" customWidth="1"/>
  </cols>
  <sheetData>
    <row r="1" spans="1:11" x14ac:dyDescent="0.35">
      <c r="A1" s="29"/>
      <c r="B1" s="39" t="s">
        <v>0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39" t="s">
        <v>7</v>
      </c>
      <c r="I1" s="39" t="s">
        <v>8</v>
      </c>
      <c r="J1" s="39" t="s">
        <v>9</v>
      </c>
      <c r="K1" s="40" t="s">
        <v>10</v>
      </c>
    </row>
    <row r="2" spans="1:11" x14ac:dyDescent="0.35">
      <c r="A2" s="66" t="s">
        <v>70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15" customHeight="1" x14ac:dyDescent="0.35">
      <c r="A3" s="41" t="s">
        <v>71</v>
      </c>
      <c r="B3" s="48" t="s">
        <v>72</v>
      </c>
      <c r="C3" s="49">
        <v>2</v>
      </c>
      <c r="D3" s="52">
        <v>56800000</v>
      </c>
      <c r="E3" s="3">
        <v>107595.13155897398</v>
      </c>
      <c r="F3" s="50">
        <v>548</v>
      </c>
      <c r="G3" s="2">
        <v>1</v>
      </c>
      <c r="H3" s="2">
        <f>1/6</f>
        <v>0.16666666666666666</v>
      </c>
      <c r="I3" s="2">
        <f>5/6</f>
        <v>0.83333333333333337</v>
      </c>
      <c r="J3" s="2">
        <f>260/548</f>
        <v>0.47445255474452552</v>
      </c>
      <c r="K3" s="14">
        <f>288/548</f>
        <v>0.52554744525547448</v>
      </c>
    </row>
    <row r="4" spans="1:11" x14ac:dyDescent="0.35">
      <c r="A4" s="8" t="s">
        <v>73</v>
      </c>
      <c r="B4" s="1"/>
      <c r="C4" s="1"/>
      <c r="D4" s="7"/>
      <c r="E4" s="7"/>
      <c r="F4" s="1"/>
      <c r="G4" s="2"/>
      <c r="H4" s="2"/>
      <c r="I4" s="2"/>
      <c r="J4" s="2"/>
      <c r="K4" s="14"/>
    </row>
    <row r="5" spans="1:11" x14ac:dyDescent="0.35">
      <c r="A5" s="41" t="s">
        <v>74</v>
      </c>
      <c r="B5" s="49">
        <v>7</v>
      </c>
      <c r="C5" s="1">
        <v>6</v>
      </c>
      <c r="D5" s="53">
        <v>108700000</v>
      </c>
      <c r="E5" s="7">
        <v>96778.666471221644</v>
      </c>
      <c r="F5" s="1">
        <v>1149</v>
      </c>
      <c r="G5" s="2">
        <v>0.87</v>
      </c>
      <c r="H5" s="2">
        <f>5/7</f>
        <v>0.7142857142857143</v>
      </c>
      <c r="I5" s="2">
        <f>2/7</f>
        <v>0.2857142857142857</v>
      </c>
      <c r="J5" s="2">
        <v>0</v>
      </c>
      <c r="K5" s="14">
        <v>1</v>
      </c>
    </row>
    <row r="6" spans="1:11" x14ac:dyDescent="0.35">
      <c r="A6" s="8" t="s">
        <v>75</v>
      </c>
      <c r="B6" s="1">
        <v>11</v>
      </c>
      <c r="C6" s="1">
        <v>8</v>
      </c>
      <c r="D6" s="7">
        <v>100473318</v>
      </c>
      <c r="E6" s="7">
        <v>88603.768127186413</v>
      </c>
      <c r="F6" s="1">
        <v>1198</v>
      </c>
      <c r="G6" s="2">
        <v>1</v>
      </c>
      <c r="H6" s="2">
        <f>8/11</f>
        <v>0.72727272727272729</v>
      </c>
      <c r="I6" s="2">
        <f>3/11</f>
        <v>0.27272727272727271</v>
      </c>
      <c r="J6" s="2">
        <v>0</v>
      </c>
      <c r="K6" s="14">
        <v>1</v>
      </c>
    </row>
    <row r="7" spans="1:11" x14ac:dyDescent="0.35">
      <c r="A7" s="8" t="s">
        <v>76</v>
      </c>
      <c r="B7" s="1">
        <v>5</v>
      </c>
      <c r="C7" s="1">
        <v>5</v>
      </c>
      <c r="D7" s="7">
        <v>144050000</v>
      </c>
      <c r="E7" s="7">
        <v>122403.73806471171</v>
      </c>
      <c r="F7" s="1">
        <v>1175</v>
      </c>
      <c r="G7" s="2">
        <v>0.91</v>
      </c>
      <c r="H7" s="2">
        <v>1</v>
      </c>
      <c r="I7" s="2">
        <v>0</v>
      </c>
      <c r="J7" s="2">
        <v>1</v>
      </c>
      <c r="K7" s="14">
        <v>0</v>
      </c>
    </row>
    <row r="8" spans="1:11" x14ac:dyDescent="0.35">
      <c r="A8" s="8" t="s">
        <v>77</v>
      </c>
      <c r="B8" s="1">
        <v>13</v>
      </c>
      <c r="C8" s="1">
        <v>13</v>
      </c>
      <c r="D8" s="7">
        <v>213700000</v>
      </c>
      <c r="E8" s="7">
        <v>109672.31243866496</v>
      </c>
      <c r="F8" s="1">
        <v>2268</v>
      </c>
      <c r="G8" s="2">
        <v>1</v>
      </c>
      <c r="H8" s="2">
        <f>8/13</f>
        <v>0.61538461538461542</v>
      </c>
      <c r="I8" s="2">
        <f>5/13</f>
        <v>0.38461538461538464</v>
      </c>
      <c r="J8" s="2">
        <v>1</v>
      </c>
      <c r="K8" s="14">
        <v>0</v>
      </c>
    </row>
    <row r="9" spans="1:11" x14ac:dyDescent="0.35">
      <c r="A9" s="16" t="s">
        <v>41</v>
      </c>
      <c r="B9" s="44">
        <f>SUM(B5:B8)+6</f>
        <v>42</v>
      </c>
      <c r="C9" s="44">
        <v>34</v>
      </c>
      <c r="D9" s="45">
        <f>SUM(D3:D8)</f>
        <v>623723318</v>
      </c>
      <c r="E9" s="45">
        <f>AVERAGE(E3:E8)</f>
        <v>105010.72333215174</v>
      </c>
      <c r="F9" s="46">
        <f>SUM(F3:F8)</f>
        <v>6338</v>
      </c>
      <c r="G9" s="51">
        <f>AVERAGE(G3:G8)</f>
        <v>0.95600000000000007</v>
      </c>
      <c r="H9" s="51">
        <f>AVERAGE(H3:H8)</f>
        <v>0.64472194472194466</v>
      </c>
      <c r="I9" s="51">
        <f>AVERAGE(I3:I8)</f>
        <v>0.35527805527805528</v>
      </c>
      <c r="J9" s="51">
        <f>AVERAGE(J3:J8)</f>
        <v>0.49489051094890507</v>
      </c>
      <c r="K9" s="51">
        <f>AVERAGE(K3:K8)</f>
        <v>0.50510948905109498</v>
      </c>
    </row>
    <row r="10" spans="1:11" x14ac:dyDescent="0.35">
      <c r="A10" s="66" t="s">
        <v>78</v>
      </c>
      <c r="B10" s="67"/>
      <c r="C10" s="67"/>
      <c r="D10" s="67"/>
      <c r="E10" s="67"/>
      <c r="F10" s="67"/>
      <c r="G10" s="67"/>
      <c r="H10" s="67"/>
      <c r="I10" s="67"/>
      <c r="J10" s="67"/>
      <c r="K10" s="68"/>
    </row>
    <row r="11" spans="1:11" x14ac:dyDescent="0.35">
      <c r="A11" s="8" t="s">
        <v>79</v>
      </c>
      <c r="B11" s="1">
        <v>3</v>
      </c>
      <c r="C11" s="1">
        <v>3</v>
      </c>
      <c r="D11" s="7">
        <v>66190000</v>
      </c>
      <c r="E11" s="7">
        <v>114516.12084285352</v>
      </c>
      <c r="F11" s="1">
        <v>582</v>
      </c>
      <c r="G11" s="2">
        <v>0.85</v>
      </c>
      <c r="H11" s="2">
        <v>1</v>
      </c>
      <c r="I11" s="2">
        <v>0</v>
      </c>
      <c r="J11" s="2">
        <v>1</v>
      </c>
      <c r="K11" s="14">
        <v>0</v>
      </c>
    </row>
    <row r="12" spans="1:11" x14ac:dyDescent="0.35">
      <c r="A12" s="8" t="s">
        <v>80</v>
      </c>
      <c r="B12" s="1">
        <v>11</v>
      </c>
      <c r="C12" s="1">
        <v>7</v>
      </c>
      <c r="D12" s="7">
        <v>165234986</v>
      </c>
      <c r="E12" s="7">
        <v>110205.02947449726</v>
      </c>
      <c r="F12" s="1">
        <v>1590</v>
      </c>
      <c r="G12" s="2">
        <v>0.93</v>
      </c>
      <c r="H12" s="2">
        <v>1</v>
      </c>
      <c r="I12" s="2">
        <v>0</v>
      </c>
      <c r="J12" s="2">
        <f>435/1590</f>
        <v>0.27358490566037735</v>
      </c>
      <c r="K12" s="14">
        <f>1155/1590</f>
        <v>0.72641509433962259</v>
      </c>
    </row>
    <row r="13" spans="1:11" x14ac:dyDescent="0.35">
      <c r="A13" s="8" t="s">
        <v>85</v>
      </c>
      <c r="B13" s="1">
        <v>8</v>
      </c>
      <c r="C13" s="1">
        <v>8</v>
      </c>
      <c r="D13" s="7">
        <v>159840000</v>
      </c>
      <c r="E13" s="7">
        <v>105881</v>
      </c>
      <c r="F13" s="1">
        <v>1573</v>
      </c>
      <c r="G13" s="2">
        <v>1</v>
      </c>
      <c r="H13" s="2">
        <f>7/8</f>
        <v>0.875</v>
      </c>
      <c r="I13" s="2">
        <f>1/8</f>
        <v>0.125</v>
      </c>
      <c r="J13" s="2">
        <v>1</v>
      </c>
      <c r="K13" s="14">
        <v>0</v>
      </c>
    </row>
    <row r="14" spans="1:11" x14ac:dyDescent="0.35">
      <c r="A14" s="8" t="s">
        <v>82</v>
      </c>
      <c r="B14" s="1">
        <v>3</v>
      </c>
      <c r="C14" s="1">
        <v>3</v>
      </c>
      <c r="D14" s="7">
        <v>56819163</v>
      </c>
      <c r="E14" s="7">
        <v>97733.411682615624</v>
      </c>
      <c r="F14" s="1">
        <v>557</v>
      </c>
      <c r="G14" s="2">
        <v>1</v>
      </c>
      <c r="H14" s="2">
        <f>2/3</f>
        <v>0.66666666666666663</v>
      </c>
      <c r="I14" s="2">
        <f>1/3</f>
        <v>0.33333333333333331</v>
      </c>
      <c r="J14" s="2">
        <f>405/557</f>
        <v>0.72710951526032319</v>
      </c>
      <c r="K14" s="14">
        <f>152/557</f>
        <v>0.27289048473967686</v>
      </c>
    </row>
    <row r="15" spans="1:11" x14ac:dyDescent="0.35">
      <c r="A15" s="16" t="s">
        <v>41</v>
      </c>
      <c r="B15" s="44">
        <f>SUM(B11:B14)</f>
        <v>25</v>
      </c>
      <c r="C15" s="44">
        <v>18</v>
      </c>
      <c r="D15" s="45">
        <f>SUM(D11:D14)</f>
        <v>448084149</v>
      </c>
      <c r="E15" s="45">
        <f>AVERAGE(E11:E14)</f>
        <v>107083.8904999916</v>
      </c>
      <c r="F15" s="44">
        <f>SUM(F11:F14)</f>
        <v>4302</v>
      </c>
      <c r="G15" s="47">
        <f>AVERAGE(G11:G14)</f>
        <v>0.94500000000000006</v>
      </c>
      <c r="H15" s="47">
        <f>AVERAGE(H11:H14)</f>
        <v>0.88541666666666663</v>
      </c>
      <c r="I15" s="47">
        <f>AVERAGE(I11:I14)</f>
        <v>0.11458333333333333</v>
      </c>
      <c r="J15" s="47">
        <f>AVERAGE(J11:J14)</f>
        <v>0.75017360523017518</v>
      </c>
      <c r="K15" s="47">
        <f>AVERAGE(K11:K14)</f>
        <v>0.24982639476982488</v>
      </c>
    </row>
    <row r="16" spans="1:11" x14ac:dyDescent="0.35">
      <c r="A16" s="66" t="s">
        <v>83</v>
      </c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x14ac:dyDescent="0.35">
      <c r="A17" s="8" t="s">
        <v>68</v>
      </c>
      <c r="B17" s="1"/>
      <c r="C17" s="1"/>
      <c r="D17" s="7"/>
      <c r="E17" s="7"/>
      <c r="F17" s="1"/>
      <c r="G17" s="2"/>
      <c r="H17" s="2"/>
      <c r="I17" s="2"/>
      <c r="J17" s="2"/>
      <c r="K17" s="14"/>
    </row>
    <row r="18" spans="1:11" x14ac:dyDescent="0.35">
      <c r="A18" s="8" t="s">
        <v>69</v>
      </c>
      <c r="B18" s="1">
        <v>28</v>
      </c>
      <c r="C18" s="1">
        <v>14</v>
      </c>
      <c r="D18" s="7">
        <v>470094579</v>
      </c>
      <c r="E18" s="7">
        <v>106483.24683807412</v>
      </c>
      <c r="F18" s="1">
        <v>4812</v>
      </c>
      <c r="G18" s="2">
        <v>1</v>
      </c>
      <c r="H18" s="2">
        <f>14/28</f>
        <v>0.5</v>
      </c>
      <c r="I18" s="2">
        <v>0.5</v>
      </c>
      <c r="J18" s="2">
        <f>24/28</f>
        <v>0.8571428571428571</v>
      </c>
      <c r="K18" s="14">
        <f>4/28</f>
        <v>0.14285714285714285</v>
      </c>
    </row>
    <row r="19" spans="1:11" x14ac:dyDescent="0.35">
      <c r="A19" s="30" t="s">
        <v>41</v>
      </c>
      <c r="B19" s="31">
        <f>SUM(B17:B18)</f>
        <v>28</v>
      </c>
      <c r="C19" s="31">
        <v>14</v>
      </c>
      <c r="D19" s="32">
        <f>SUM(D17:D18)</f>
        <v>470094579</v>
      </c>
      <c r="E19" s="32">
        <f>AVERAGE(E17:E18)</f>
        <v>106483.24683807412</v>
      </c>
      <c r="F19" s="31">
        <f>SUM(F17:F18)</f>
        <v>4812</v>
      </c>
      <c r="G19" s="33">
        <f>AVERAGE(G17:G18)</f>
        <v>1</v>
      </c>
      <c r="H19" s="33">
        <f>AVERAGE(H17:H18)</f>
        <v>0.5</v>
      </c>
      <c r="I19" s="33">
        <f>AVERAGE(I17:I18)</f>
        <v>0.5</v>
      </c>
      <c r="J19" s="33">
        <f>AVERAGE(J17:J18)</f>
        <v>0.8571428571428571</v>
      </c>
      <c r="K19" s="33">
        <f>AVERAGE(K17:K18)</f>
        <v>0.14285714285714285</v>
      </c>
    </row>
    <row r="20" spans="1:11" s="6" customFormat="1" x14ac:dyDescent="0.35">
      <c r="A20" s="6" t="s">
        <v>84</v>
      </c>
      <c r="B20" s="44">
        <f>SUM(B9,B15,B19)</f>
        <v>95</v>
      </c>
      <c r="C20" s="44">
        <v>39</v>
      </c>
      <c r="D20" s="45">
        <f>SUM(D9,D15,D19)</f>
        <v>1541902046</v>
      </c>
      <c r="E20" s="45">
        <f>AVERAGE(E9,E15,E19)</f>
        <v>106192.62022340581</v>
      </c>
      <c r="F20" s="46">
        <f>SUM(F9,F15,F19)</f>
        <v>15452</v>
      </c>
      <c r="G20" s="47">
        <f>AVERAGE(G3:G8,G11:G14,G17:G18)</f>
        <v>0.95599999999999985</v>
      </c>
      <c r="H20" s="47">
        <f>AVERAGE(H3:H8,H11:H14,H17:H18)</f>
        <v>0.72652763902763895</v>
      </c>
      <c r="I20" s="47">
        <f>AVERAGE(I3:I8,I11:I14,I17:I18)</f>
        <v>0.27347236097236094</v>
      </c>
      <c r="J20" s="47">
        <f>AVERAGE(J3:J8,J11:J14,J17:J18)</f>
        <v>0.63322898328080823</v>
      </c>
      <c r="K20" s="47">
        <f>AVERAGE(K3:K8,K11:K14,K17:K18)</f>
        <v>0.36677101671919166</v>
      </c>
    </row>
  </sheetData>
  <mergeCells count="3">
    <mergeCell ref="A2:K2"/>
    <mergeCell ref="A10:K10"/>
    <mergeCell ref="A16:K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0"/>
  <sheetViews>
    <sheetView tabSelected="1" topLeftCell="A6" workbookViewId="0">
      <selection activeCell="B15" sqref="B15"/>
    </sheetView>
  </sheetViews>
  <sheetFormatPr defaultRowHeight="14.5" x14ac:dyDescent="0.35"/>
  <cols>
    <col min="1" max="1" width="12.26953125" style="1" bestFit="1" customWidth="1"/>
    <col min="2" max="2" width="24.26953125" bestFit="1" customWidth="1"/>
    <col min="3" max="3" width="12" bestFit="1" customWidth="1"/>
    <col min="4" max="4" width="27.453125" bestFit="1" customWidth="1"/>
    <col min="5" max="5" width="42.453125" bestFit="1" customWidth="1"/>
  </cols>
  <sheetData>
    <row r="1" spans="1:5" x14ac:dyDescent="0.35">
      <c r="A1" s="44" t="s">
        <v>86</v>
      </c>
      <c r="B1" s="44" t="s">
        <v>87</v>
      </c>
      <c r="C1" s="44" t="s">
        <v>88</v>
      </c>
      <c r="D1" s="44" t="s">
        <v>176</v>
      </c>
      <c r="E1" s="44" t="s">
        <v>306</v>
      </c>
    </row>
    <row r="2" spans="1:5" x14ac:dyDescent="0.35">
      <c r="A2" s="54">
        <v>1</v>
      </c>
      <c r="B2" s="56">
        <v>15900000</v>
      </c>
      <c r="C2" s="55" t="s">
        <v>120</v>
      </c>
      <c r="D2" s="55" t="s">
        <v>208</v>
      </c>
      <c r="E2" s="55" t="s">
        <v>291</v>
      </c>
    </row>
    <row r="3" spans="1:5" x14ac:dyDescent="0.35">
      <c r="A3" s="54">
        <v>1</v>
      </c>
      <c r="B3" s="56">
        <v>15000000</v>
      </c>
      <c r="C3" s="55" t="s">
        <v>123</v>
      </c>
      <c r="D3" s="55" t="s">
        <v>211</v>
      </c>
      <c r="E3" s="55" t="s">
        <v>294</v>
      </c>
    </row>
    <row r="4" spans="1:5" x14ac:dyDescent="0.35">
      <c r="A4" s="54">
        <v>1</v>
      </c>
      <c r="B4" s="56">
        <v>16500000</v>
      </c>
      <c r="C4" s="55" t="s">
        <v>99</v>
      </c>
      <c r="D4" s="55" t="s">
        <v>187</v>
      </c>
      <c r="E4" s="55" t="s">
        <v>271</v>
      </c>
    </row>
    <row r="5" spans="1:5" x14ac:dyDescent="0.35">
      <c r="A5" s="54">
        <v>1</v>
      </c>
      <c r="B5" s="56">
        <v>210000000</v>
      </c>
      <c r="C5" s="55" t="s">
        <v>309</v>
      </c>
      <c r="D5" s="65" t="s">
        <v>309</v>
      </c>
      <c r="E5" s="65" t="s">
        <v>308</v>
      </c>
    </row>
    <row r="6" spans="1:5" x14ac:dyDescent="0.35">
      <c r="A6" s="54">
        <v>1</v>
      </c>
      <c r="B6" s="56">
        <v>24000000</v>
      </c>
      <c r="C6" s="55" t="s">
        <v>115</v>
      </c>
      <c r="D6" s="55" t="s">
        <v>203</v>
      </c>
      <c r="E6" s="55" t="s">
        <v>286</v>
      </c>
    </row>
    <row r="7" spans="1:5" x14ac:dyDescent="0.35">
      <c r="A7" s="54">
        <v>1</v>
      </c>
      <c r="B7" s="56">
        <v>31000000</v>
      </c>
      <c r="C7" s="55" t="s">
        <v>113</v>
      </c>
      <c r="D7" s="55" t="s">
        <v>201</v>
      </c>
      <c r="E7" s="55" t="s">
        <v>283</v>
      </c>
    </row>
    <row r="8" spans="1:5" x14ac:dyDescent="0.35">
      <c r="A8" s="54">
        <v>1</v>
      </c>
      <c r="B8" s="56">
        <v>19000000</v>
      </c>
      <c r="C8" s="55" t="s">
        <v>122</v>
      </c>
      <c r="D8" s="55" t="s">
        <v>210</v>
      </c>
      <c r="E8" s="55" t="s">
        <v>293</v>
      </c>
    </row>
    <row r="9" spans="1:5" x14ac:dyDescent="0.35">
      <c r="A9" s="54">
        <v>1</v>
      </c>
      <c r="B9" s="56">
        <v>12766799</v>
      </c>
      <c r="C9" s="55" t="s">
        <v>108</v>
      </c>
      <c r="D9" s="55" t="s">
        <v>196</v>
      </c>
      <c r="E9" s="55" t="s">
        <v>280</v>
      </c>
    </row>
    <row r="10" spans="1:5" x14ac:dyDescent="0.35">
      <c r="A10" s="54">
        <v>1</v>
      </c>
      <c r="B10" s="56">
        <v>15000000</v>
      </c>
      <c r="C10" s="55" t="s">
        <v>97</v>
      </c>
      <c r="D10" s="55" t="s">
        <v>185</v>
      </c>
      <c r="E10" s="55" t="s">
        <v>270</v>
      </c>
    </row>
    <row r="11" spans="1:5" x14ac:dyDescent="0.35">
      <c r="A11" s="54">
        <v>1</v>
      </c>
      <c r="B11" s="56">
        <v>6000000</v>
      </c>
      <c r="C11" s="55" t="s">
        <v>98</v>
      </c>
      <c r="D11" s="55" t="s">
        <v>186</v>
      </c>
      <c r="E11" s="55" t="s">
        <v>270</v>
      </c>
    </row>
    <row r="12" spans="1:5" x14ac:dyDescent="0.35">
      <c r="A12" s="54">
        <v>1</v>
      </c>
      <c r="B12" s="56">
        <v>19000000</v>
      </c>
      <c r="C12" s="55" t="s">
        <v>100</v>
      </c>
      <c r="D12" s="55" t="s">
        <v>188</v>
      </c>
      <c r="E12" s="55" t="s">
        <v>272</v>
      </c>
    </row>
    <row r="13" spans="1:5" x14ac:dyDescent="0.35">
      <c r="A13" s="54">
        <v>1</v>
      </c>
      <c r="B13" s="56">
        <v>16500000</v>
      </c>
      <c r="C13" s="55" t="s">
        <v>103</v>
      </c>
      <c r="D13" s="55" t="s">
        <v>191</v>
      </c>
      <c r="E13" s="55" t="s">
        <v>275</v>
      </c>
    </row>
    <row r="14" spans="1:5" x14ac:dyDescent="0.35">
      <c r="A14" s="54">
        <v>1</v>
      </c>
      <c r="B14" s="56">
        <v>13600000</v>
      </c>
      <c r="C14" s="55" t="s">
        <v>116</v>
      </c>
      <c r="D14" s="55" t="s">
        <v>204</v>
      </c>
      <c r="E14" s="55" t="s">
        <v>287</v>
      </c>
    </row>
    <row r="15" spans="1:5" x14ac:dyDescent="0.35">
      <c r="A15" s="54">
        <v>1</v>
      </c>
      <c r="B15" s="56">
        <v>38000000</v>
      </c>
      <c r="C15" s="55" t="s">
        <v>111</v>
      </c>
      <c r="D15" s="55" t="s">
        <v>199</v>
      </c>
      <c r="E15" s="55" t="s">
        <v>307</v>
      </c>
    </row>
    <row r="16" spans="1:5" x14ac:dyDescent="0.35">
      <c r="A16" s="54">
        <v>1</v>
      </c>
      <c r="B16" s="56">
        <v>15000000</v>
      </c>
      <c r="C16" s="55" t="s">
        <v>117</v>
      </c>
      <c r="D16" s="55" t="s">
        <v>205</v>
      </c>
      <c r="E16" s="55" t="s">
        <v>288</v>
      </c>
    </row>
    <row r="17" spans="1:5" x14ac:dyDescent="0.35">
      <c r="A17" s="54">
        <v>1</v>
      </c>
      <c r="B17" s="56">
        <v>27000000</v>
      </c>
      <c r="C17" s="55" t="s">
        <v>119</v>
      </c>
      <c r="D17" s="55" t="s">
        <v>207</v>
      </c>
      <c r="E17" s="55" t="s">
        <v>290</v>
      </c>
    </row>
    <row r="18" spans="1:5" x14ac:dyDescent="0.35">
      <c r="A18" s="54">
        <v>1</v>
      </c>
      <c r="B18" s="56">
        <v>8000000</v>
      </c>
      <c r="C18" s="55" t="s">
        <v>90</v>
      </c>
      <c r="D18" s="55" t="s">
        <v>178</v>
      </c>
      <c r="E18" s="55" t="s">
        <v>265</v>
      </c>
    </row>
    <row r="19" spans="1:5" x14ac:dyDescent="0.35">
      <c r="A19" s="54">
        <v>1</v>
      </c>
      <c r="B19" s="56">
        <v>7000000</v>
      </c>
      <c r="C19" s="55" t="s">
        <v>91</v>
      </c>
      <c r="D19" s="55" t="s">
        <v>179</v>
      </c>
      <c r="E19" s="55" t="s">
        <v>264</v>
      </c>
    </row>
    <row r="20" spans="1:5" x14ac:dyDescent="0.35">
      <c r="A20" s="54">
        <v>1</v>
      </c>
      <c r="B20" s="56">
        <v>8000000</v>
      </c>
      <c r="C20" s="55" t="s">
        <v>89</v>
      </c>
      <c r="D20" s="55" t="s">
        <v>177</v>
      </c>
      <c r="E20" s="55" t="s">
        <v>264</v>
      </c>
    </row>
    <row r="21" spans="1:5" x14ac:dyDescent="0.35">
      <c r="A21" s="54">
        <v>1</v>
      </c>
      <c r="B21" s="56">
        <v>10000000</v>
      </c>
      <c r="C21" s="55" t="s">
        <v>92</v>
      </c>
      <c r="D21" s="55" t="s">
        <v>180</v>
      </c>
      <c r="E21" s="55" t="s">
        <v>264</v>
      </c>
    </row>
    <row r="22" spans="1:5" x14ac:dyDescent="0.35">
      <c r="A22" s="54">
        <v>1</v>
      </c>
      <c r="B22" s="56">
        <v>22000000</v>
      </c>
      <c r="C22" s="55" t="s">
        <v>110</v>
      </c>
      <c r="D22" s="55" t="s">
        <v>198</v>
      </c>
      <c r="E22" s="55" t="s">
        <v>281</v>
      </c>
    </row>
    <row r="23" spans="1:5" x14ac:dyDescent="0.35">
      <c r="A23" s="54">
        <v>1</v>
      </c>
      <c r="B23" s="56">
        <v>29250000</v>
      </c>
      <c r="C23" s="55" t="s">
        <v>112</v>
      </c>
      <c r="D23" s="55" t="s">
        <v>200</v>
      </c>
      <c r="E23" s="55" t="s">
        <v>282</v>
      </c>
    </row>
    <row r="24" spans="1:5" x14ac:dyDescent="0.35">
      <c r="A24" s="54">
        <v>1</v>
      </c>
      <c r="B24" s="56">
        <v>20800000</v>
      </c>
      <c r="C24" s="55" t="s">
        <v>93</v>
      </c>
      <c r="D24" s="55" t="s">
        <v>181</v>
      </c>
      <c r="E24" s="55" t="s">
        <v>266</v>
      </c>
    </row>
    <row r="25" spans="1:5" x14ac:dyDescent="0.35">
      <c r="A25" s="54">
        <v>1</v>
      </c>
      <c r="B25" s="56">
        <v>5200000</v>
      </c>
      <c r="C25" s="55" t="s">
        <v>121</v>
      </c>
      <c r="D25" s="55" t="s">
        <v>209</v>
      </c>
      <c r="E25" s="55" t="s">
        <v>292</v>
      </c>
    </row>
    <row r="26" spans="1:5" x14ac:dyDescent="0.35">
      <c r="A26" s="54">
        <v>1</v>
      </c>
      <c r="B26" s="56">
        <v>5500000</v>
      </c>
      <c r="C26" s="55" t="s">
        <v>104</v>
      </c>
      <c r="D26" s="55" t="s">
        <v>192</v>
      </c>
      <c r="E26" s="55" t="s">
        <v>276</v>
      </c>
    </row>
    <row r="27" spans="1:5" x14ac:dyDescent="0.35">
      <c r="A27" s="54">
        <v>1</v>
      </c>
      <c r="B27" s="56">
        <v>28000000</v>
      </c>
      <c r="C27" s="55" t="s">
        <v>94</v>
      </c>
      <c r="D27" s="55" t="s">
        <v>182</v>
      </c>
      <c r="E27" s="55" t="s">
        <v>267</v>
      </c>
    </row>
    <row r="28" spans="1:5" x14ac:dyDescent="0.35">
      <c r="A28" s="54">
        <v>1</v>
      </c>
      <c r="B28" s="56">
        <v>10000000</v>
      </c>
      <c r="C28" s="55" t="s">
        <v>107</v>
      </c>
      <c r="D28" s="55" t="s">
        <v>195</v>
      </c>
      <c r="E28" s="55" t="s">
        <v>279</v>
      </c>
    </row>
    <row r="29" spans="1:5" x14ac:dyDescent="0.35">
      <c r="A29" s="54">
        <v>1</v>
      </c>
      <c r="B29" s="56">
        <v>27000000</v>
      </c>
      <c r="C29" s="55" t="s">
        <v>114</v>
      </c>
      <c r="D29" s="55" t="s">
        <v>202</v>
      </c>
      <c r="E29" s="55" t="s">
        <v>285</v>
      </c>
    </row>
    <row r="30" spans="1:5" x14ac:dyDescent="0.35">
      <c r="A30" s="54">
        <v>1</v>
      </c>
      <c r="B30" s="56">
        <v>12500000</v>
      </c>
      <c r="C30" s="55" t="s">
        <v>95</v>
      </c>
      <c r="D30" s="55" t="s">
        <v>183</v>
      </c>
      <c r="E30" s="55" t="s">
        <v>268</v>
      </c>
    </row>
    <row r="31" spans="1:5" x14ac:dyDescent="0.35">
      <c r="A31" s="54">
        <v>1</v>
      </c>
      <c r="B31" s="56">
        <v>23000000</v>
      </c>
      <c r="C31" s="55" t="s">
        <v>124</v>
      </c>
      <c r="D31" s="55" t="s">
        <v>212</v>
      </c>
      <c r="E31" s="55" t="s">
        <v>295</v>
      </c>
    </row>
    <row r="32" spans="1:5" x14ac:dyDescent="0.35">
      <c r="A32" s="54">
        <v>1</v>
      </c>
      <c r="B32" s="56">
        <v>17000000</v>
      </c>
      <c r="C32" s="55" t="s">
        <v>118</v>
      </c>
      <c r="D32" s="55" t="s">
        <v>206</v>
      </c>
      <c r="E32" s="55" t="s">
        <v>289</v>
      </c>
    </row>
    <row r="33" spans="1:5" x14ac:dyDescent="0.35">
      <c r="A33" s="54">
        <v>1</v>
      </c>
      <c r="B33" s="56">
        <v>1268888</v>
      </c>
      <c r="C33" s="55" t="s">
        <v>101</v>
      </c>
      <c r="D33" s="55" t="s">
        <v>189</v>
      </c>
      <c r="E33" s="55" t="s">
        <v>273</v>
      </c>
    </row>
    <row r="34" spans="1:5" x14ac:dyDescent="0.35">
      <c r="A34" s="54">
        <v>1</v>
      </c>
      <c r="B34" s="56">
        <v>3857900</v>
      </c>
      <c r="C34" s="55" t="s">
        <v>102</v>
      </c>
      <c r="D34" s="55" t="s">
        <v>190</v>
      </c>
      <c r="E34" s="55" t="s">
        <v>274</v>
      </c>
    </row>
    <row r="35" spans="1:5" x14ac:dyDescent="0.35">
      <c r="A35" s="54">
        <v>1</v>
      </c>
      <c r="B35" s="56">
        <v>2754853</v>
      </c>
      <c r="C35" s="55" t="s">
        <v>109</v>
      </c>
      <c r="D35" s="55" t="s">
        <v>197</v>
      </c>
      <c r="E35" s="55" t="s">
        <v>274</v>
      </c>
    </row>
    <row r="36" spans="1:5" x14ac:dyDescent="0.35">
      <c r="A36" s="54">
        <v>1</v>
      </c>
      <c r="B36" s="56">
        <v>11700000</v>
      </c>
      <c r="C36" s="55" t="s">
        <v>96</v>
      </c>
      <c r="D36" s="55" t="s">
        <v>184</v>
      </c>
      <c r="E36" s="55" t="s">
        <v>269</v>
      </c>
    </row>
    <row r="37" spans="1:5" x14ac:dyDescent="0.35">
      <c r="A37" s="54">
        <v>1</v>
      </c>
      <c r="B37" s="56">
        <v>13000000</v>
      </c>
      <c r="C37" s="55" t="s">
        <v>171</v>
      </c>
      <c r="D37" s="55" t="s">
        <v>259</v>
      </c>
      <c r="E37" s="55" t="s">
        <v>269</v>
      </c>
    </row>
    <row r="38" spans="1:5" x14ac:dyDescent="0.35">
      <c r="A38" s="54">
        <v>1</v>
      </c>
      <c r="B38" s="56">
        <v>16000000</v>
      </c>
      <c r="C38" s="55" t="s">
        <v>106</v>
      </c>
      <c r="D38" s="55" t="s">
        <v>194</v>
      </c>
      <c r="E38" s="55" t="s">
        <v>278</v>
      </c>
    </row>
    <row r="39" spans="1:5" x14ac:dyDescent="0.35">
      <c r="A39" s="54">
        <v>1</v>
      </c>
      <c r="B39" s="56">
        <v>30000000</v>
      </c>
      <c r="C39" s="55" t="s">
        <v>105</v>
      </c>
      <c r="D39" s="55" t="s">
        <v>193</v>
      </c>
      <c r="E39" s="55" t="s">
        <v>277</v>
      </c>
    </row>
    <row r="40" spans="1:5" x14ac:dyDescent="0.35">
      <c r="A40" s="54">
        <v>1</v>
      </c>
      <c r="B40" s="56">
        <v>20000000</v>
      </c>
      <c r="C40" s="55" t="s">
        <v>125</v>
      </c>
      <c r="D40" s="55" t="s">
        <v>213</v>
      </c>
      <c r="E40" s="55" t="s">
        <v>296</v>
      </c>
    </row>
    <row r="41" spans="1:5" x14ac:dyDescent="0.35">
      <c r="A41" s="57">
        <v>2</v>
      </c>
      <c r="B41" s="59">
        <v>14240000</v>
      </c>
      <c r="C41" s="58" t="s">
        <v>148</v>
      </c>
      <c r="D41" s="58" t="s">
        <v>236</v>
      </c>
      <c r="E41" s="58" t="s">
        <v>302</v>
      </c>
    </row>
    <row r="42" spans="1:5" x14ac:dyDescent="0.35">
      <c r="A42" s="57">
        <v>2</v>
      </c>
      <c r="B42" s="59">
        <v>28200000</v>
      </c>
      <c r="C42" s="58" t="s">
        <v>144</v>
      </c>
      <c r="D42" s="58" t="s">
        <v>232</v>
      </c>
      <c r="E42" s="58" t="s">
        <v>301</v>
      </c>
    </row>
    <row r="43" spans="1:5" x14ac:dyDescent="0.35">
      <c r="A43" s="57">
        <v>2</v>
      </c>
      <c r="B43" s="59">
        <v>10344528</v>
      </c>
      <c r="C43" s="58" t="s">
        <v>134</v>
      </c>
      <c r="D43" s="58" t="s">
        <v>222</v>
      </c>
      <c r="E43" s="58" t="s">
        <v>283</v>
      </c>
    </row>
    <row r="44" spans="1:5" x14ac:dyDescent="0.35">
      <c r="A44" s="57">
        <v>2</v>
      </c>
      <c r="B44" s="59">
        <v>16000000</v>
      </c>
      <c r="C44" s="58" t="s">
        <v>150</v>
      </c>
      <c r="D44" s="58" t="s">
        <v>238</v>
      </c>
      <c r="E44" s="58" t="s">
        <v>293</v>
      </c>
    </row>
    <row r="45" spans="1:5" x14ac:dyDescent="0.35">
      <c r="A45" s="57">
        <v>2</v>
      </c>
      <c r="B45" s="59">
        <v>18800000</v>
      </c>
      <c r="C45" s="58" t="s">
        <v>149</v>
      </c>
      <c r="D45" s="58" t="s">
        <v>237</v>
      </c>
      <c r="E45" s="58" t="s">
        <v>284</v>
      </c>
    </row>
    <row r="46" spans="1:5" x14ac:dyDescent="0.35">
      <c r="A46" s="57">
        <v>2</v>
      </c>
      <c r="B46" s="59">
        <v>20000000</v>
      </c>
      <c r="C46" s="58" t="s">
        <v>127</v>
      </c>
      <c r="D46" s="58" t="s">
        <v>215</v>
      </c>
      <c r="E46" s="58" t="s">
        <v>272</v>
      </c>
    </row>
    <row r="47" spans="1:5" x14ac:dyDescent="0.35">
      <c r="A47" s="57">
        <v>2</v>
      </c>
      <c r="B47" s="59">
        <v>13600000</v>
      </c>
      <c r="C47" s="58" t="s">
        <v>145</v>
      </c>
      <c r="D47" s="58" t="s">
        <v>233</v>
      </c>
      <c r="E47" s="58" t="s">
        <v>287</v>
      </c>
    </row>
    <row r="48" spans="1:5" x14ac:dyDescent="0.35">
      <c r="A48" s="57">
        <v>2</v>
      </c>
      <c r="B48" s="59">
        <v>24000000</v>
      </c>
      <c r="C48" s="58" t="s">
        <v>141</v>
      </c>
      <c r="D48" s="58" t="s">
        <v>229</v>
      </c>
      <c r="E48" s="60" t="s">
        <v>307</v>
      </c>
    </row>
    <row r="49" spans="1:5" x14ac:dyDescent="0.35">
      <c r="A49" s="57">
        <v>2</v>
      </c>
      <c r="B49" s="59">
        <v>25000000</v>
      </c>
      <c r="C49" s="58" t="s">
        <v>147</v>
      </c>
      <c r="D49" s="58" t="s">
        <v>235</v>
      </c>
      <c r="E49" s="58" t="s">
        <v>290</v>
      </c>
    </row>
    <row r="50" spans="1:5" x14ac:dyDescent="0.35">
      <c r="A50" s="57">
        <v>2</v>
      </c>
      <c r="B50" s="59">
        <v>22000000</v>
      </c>
      <c r="C50" s="58" t="s">
        <v>140</v>
      </c>
      <c r="D50" s="58" t="s">
        <v>228</v>
      </c>
      <c r="E50" s="58" t="s">
        <v>281</v>
      </c>
    </row>
    <row r="51" spans="1:5" x14ac:dyDescent="0.35">
      <c r="A51" s="57">
        <v>2</v>
      </c>
      <c r="B51" s="59">
        <v>17000000</v>
      </c>
      <c r="C51" s="58" t="s">
        <v>167</v>
      </c>
      <c r="D51" s="58" t="s">
        <v>255</v>
      </c>
      <c r="E51" s="58" t="s">
        <v>300</v>
      </c>
    </row>
    <row r="52" spans="1:5" x14ac:dyDescent="0.35">
      <c r="A52" s="57">
        <v>2</v>
      </c>
      <c r="B52" s="59">
        <v>16190000</v>
      </c>
      <c r="C52" s="58" t="s">
        <v>128</v>
      </c>
      <c r="D52" s="58" t="s">
        <v>216</v>
      </c>
      <c r="E52" s="58" t="s">
        <v>266</v>
      </c>
    </row>
    <row r="53" spans="1:5" x14ac:dyDescent="0.35">
      <c r="A53" s="57">
        <v>2</v>
      </c>
      <c r="B53" s="59">
        <v>15000000</v>
      </c>
      <c r="C53" s="58" t="s">
        <v>151</v>
      </c>
      <c r="D53" s="58" t="s">
        <v>239</v>
      </c>
      <c r="E53" s="58" t="s">
        <v>303</v>
      </c>
    </row>
    <row r="54" spans="1:5" x14ac:dyDescent="0.35">
      <c r="A54" s="57">
        <v>2</v>
      </c>
      <c r="B54" s="59">
        <v>16500000</v>
      </c>
      <c r="C54" s="58" t="s">
        <v>137</v>
      </c>
      <c r="D54" s="58" t="s">
        <v>225</v>
      </c>
      <c r="E54" s="58" t="s">
        <v>285</v>
      </c>
    </row>
    <row r="55" spans="1:5" x14ac:dyDescent="0.35">
      <c r="A55" s="57">
        <v>2</v>
      </c>
      <c r="B55" s="59">
        <v>15000000</v>
      </c>
      <c r="C55" s="58" t="s">
        <v>129</v>
      </c>
      <c r="D55" s="58" t="s">
        <v>217</v>
      </c>
      <c r="E55" s="58" t="s">
        <v>297</v>
      </c>
    </row>
    <row r="56" spans="1:5" x14ac:dyDescent="0.35">
      <c r="A56" s="57">
        <v>2</v>
      </c>
      <c r="B56" s="59">
        <v>17000000</v>
      </c>
      <c r="C56" s="58" t="s">
        <v>130</v>
      </c>
      <c r="D56" s="58" t="s">
        <v>218</v>
      </c>
      <c r="E56" s="58" t="s">
        <v>295</v>
      </c>
    </row>
    <row r="57" spans="1:5" x14ac:dyDescent="0.35">
      <c r="A57" s="57">
        <v>2</v>
      </c>
      <c r="B57" s="59">
        <v>15000000</v>
      </c>
      <c r="C57" s="58" t="s">
        <v>139</v>
      </c>
      <c r="D57" s="58" t="s">
        <v>227</v>
      </c>
      <c r="E57" s="58" t="s">
        <v>299</v>
      </c>
    </row>
    <row r="58" spans="1:5" x14ac:dyDescent="0.35">
      <c r="A58" s="57">
        <v>2</v>
      </c>
      <c r="B58" s="59">
        <v>23000000</v>
      </c>
      <c r="C58" s="58" t="s">
        <v>146</v>
      </c>
      <c r="D58" s="58" t="s">
        <v>234</v>
      </c>
      <c r="E58" s="58" t="s">
        <v>289</v>
      </c>
    </row>
    <row r="59" spans="1:5" x14ac:dyDescent="0.35">
      <c r="A59" s="57">
        <v>2</v>
      </c>
      <c r="B59" s="59">
        <v>7790458</v>
      </c>
      <c r="C59" s="58" t="s">
        <v>135</v>
      </c>
      <c r="D59" s="58" t="s">
        <v>223</v>
      </c>
      <c r="E59" s="58" t="s">
        <v>269</v>
      </c>
    </row>
    <row r="60" spans="1:5" x14ac:dyDescent="0.35">
      <c r="A60" s="57">
        <v>2</v>
      </c>
      <c r="B60" s="59">
        <v>15000000</v>
      </c>
      <c r="C60" s="58" t="s">
        <v>131</v>
      </c>
      <c r="D60" s="58" t="s">
        <v>219</v>
      </c>
      <c r="E60" s="58" t="s">
        <v>278</v>
      </c>
    </row>
    <row r="61" spans="1:5" x14ac:dyDescent="0.35">
      <c r="A61" s="57">
        <v>2</v>
      </c>
      <c r="B61" s="59">
        <v>16600000</v>
      </c>
      <c r="C61" s="58" t="s">
        <v>132</v>
      </c>
      <c r="D61" s="58" t="s">
        <v>220</v>
      </c>
      <c r="E61" s="58" t="s">
        <v>278</v>
      </c>
    </row>
    <row r="62" spans="1:5" x14ac:dyDescent="0.35">
      <c r="A62" s="57">
        <v>2</v>
      </c>
      <c r="B62" s="59">
        <v>9000000</v>
      </c>
      <c r="C62" s="58" t="s">
        <v>133</v>
      </c>
      <c r="D62" s="58" t="s">
        <v>221</v>
      </c>
      <c r="E62" s="58" t="s">
        <v>278</v>
      </c>
    </row>
    <row r="63" spans="1:5" x14ac:dyDescent="0.35">
      <c r="A63" s="57">
        <v>2</v>
      </c>
      <c r="B63" s="59">
        <v>30000000</v>
      </c>
      <c r="C63" s="58" t="s">
        <v>126</v>
      </c>
      <c r="D63" s="58" t="s">
        <v>214</v>
      </c>
      <c r="E63" s="58" t="s">
        <v>277</v>
      </c>
    </row>
    <row r="64" spans="1:5" x14ac:dyDescent="0.35">
      <c r="A64" s="57">
        <v>2</v>
      </c>
      <c r="B64" s="59">
        <v>10000000</v>
      </c>
      <c r="C64" s="58" t="s">
        <v>175</v>
      </c>
      <c r="D64" s="58" t="s">
        <v>263</v>
      </c>
      <c r="E64" s="58" t="s">
        <v>298</v>
      </c>
    </row>
    <row r="65" spans="1:5" x14ac:dyDescent="0.35">
      <c r="A65" s="57">
        <v>2</v>
      </c>
      <c r="B65" s="59">
        <v>28000000</v>
      </c>
      <c r="C65" s="58" t="s">
        <v>138</v>
      </c>
      <c r="D65" s="58" t="s">
        <v>226</v>
      </c>
      <c r="E65" s="58" t="s">
        <v>296</v>
      </c>
    </row>
    <row r="66" spans="1:5" x14ac:dyDescent="0.35">
      <c r="A66" s="61">
        <v>3</v>
      </c>
      <c r="B66" s="63">
        <v>30000000</v>
      </c>
      <c r="C66" s="62" t="s">
        <v>152</v>
      </c>
      <c r="D66" s="62" t="s">
        <v>240</v>
      </c>
      <c r="E66" s="62" t="s">
        <v>286</v>
      </c>
    </row>
    <row r="67" spans="1:5" x14ac:dyDescent="0.35">
      <c r="A67" s="61">
        <v>3</v>
      </c>
      <c r="B67" s="63">
        <v>25000000</v>
      </c>
      <c r="C67" s="62" t="s">
        <v>173</v>
      </c>
      <c r="D67" s="62" t="s">
        <v>261</v>
      </c>
      <c r="E67" s="62" t="s">
        <v>305</v>
      </c>
    </row>
    <row r="68" spans="1:5" x14ac:dyDescent="0.35">
      <c r="A68" s="61">
        <v>3</v>
      </c>
      <c r="B68" s="63">
        <v>10919163</v>
      </c>
      <c r="C68" s="62" t="s">
        <v>153</v>
      </c>
      <c r="D68" s="62" t="s">
        <v>241</v>
      </c>
      <c r="E68" s="62" t="s">
        <v>283</v>
      </c>
    </row>
    <row r="69" spans="1:5" x14ac:dyDescent="0.35">
      <c r="A69" s="61">
        <v>3</v>
      </c>
      <c r="B69" s="63">
        <v>16000000</v>
      </c>
      <c r="C69" s="62" t="s">
        <v>154</v>
      </c>
      <c r="D69" s="62" t="s">
        <v>242</v>
      </c>
      <c r="E69" s="62" t="s">
        <v>293</v>
      </c>
    </row>
    <row r="70" spans="1:5" x14ac:dyDescent="0.35">
      <c r="A70" s="61">
        <v>3</v>
      </c>
      <c r="B70" s="63">
        <v>16000000</v>
      </c>
      <c r="C70" s="62" t="s">
        <v>160</v>
      </c>
      <c r="D70" s="62" t="s">
        <v>248</v>
      </c>
      <c r="E70" s="62" t="s">
        <v>293</v>
      </c>
    </row>
    <row r="71" spans="1:5" x14ac:dyDescent="0.35">
      <c r="A71" s="61">
        <v>3</v>
      </c>
      <c r="B71" s="63">
        <v>16000000</v>
      </c>
      <c r="C71" s="62" t="s">
        <v>155</v>
      </c>
      <c r="D71" s="62" t="s">
        <v>243</v>
      </c>
      <c r="E71" s="62" t="s">
        <v>287</v>
      </c>
    </row>
    <row r="72" spans="1:5" x14ac:dyDescent="0.35">
      <c r="A72" s="61">
        <v>3</v>
      </c>
      <c r="B72" s="63">
        <v>11000000</v>
      </c>
      <c r="C72" s="62" t="s">
        <v>161</v>
      </c>
      <c r="D72" s="62" t="s">
        <v>249</v>
      </c>
      <c r="E72" s="62" t="s">
        <v>287</v>
      </c>
    </row>
    <row r="73" spans="1:5" x14ac:dyDescent="0.35">
      <c r="A73" s="61">
        <v>3</v>
      </c>
      <c r="B73" s="63">
        <v>14000000</v>
      </c>
      <c r="C73" s="62" t="s">
        <v>162</v>
      </c>
      <c r="D73" s="62" t="s">
        <v>250</v>
      </c>
      <c r="E73" s="62" t="s">
        <v>287</v>
      </c>
    </row>
    <row r="74" spans="1:5" x14ac:dyDescent="0.35">
      <c r="A74" s="61">
        <v>3</v>
      </c>
      <c r="B74" s="63">
        <v>23000000</v>
      </c>
      <c r="C74" s="62" t="s">
        <v>142</v>
      </c>
      <c r="D74" s="62" t="s">
        <v>230</v>
      </c>
      <c r="E74" s="64" t="s">
        <v>307</v>
      </c>
    </row>
    <row r="75" spans="1:5" x14ac:dyDescent="0.35">
      <c r="A75" s="61">
        <v>3</v>
      </c>
      <c r="B75" s="63">
        <v>22000000</v>
      </c>
      <c r="C75" s="62" t="s">
        <v>143</v>
      </c>
      <c r="D75" s="62" t="s">
        <v>231</v>
      </c>
      <c r="E75" s="64" t="s">
        <v>307</v>
      </c>
    </row>
    <row r="76" spans="1:5" x14ac:dyDescent="0.35">
      <c r="A76" s="61">
        <v>3</v>
      </c>
      <c r="B76" s="63">
        <v>18500000</v>
      </c>
      <c r="C76" s="62" t="s">
        <v>156</v>
      </c>
      <c r="D76" s="62" t="s">
        <v>244</v>
      </c>
      <c r="E76" s="62" t="s">
        <v>304</v>
      </c>
    </row>
    <row r="77" spans="1:5" x14ac:dyDescent="0.35">
      <c r="A77" s="61">
        <v>3</v>
      </c>
      <c r="B77" s="63">
        <v>17500000</v>
      </c>
      <c r="C77" s="62" t="s">
        <v>163</v>
      </c>
      <c r="D77" s="62" t="s">
        <v>251</v>
      </c>
      <c r="E77" s="62" t="s">
        <v>304</v>
      </c>
    </row>
    <row r="78" spans="1:5" x14ac:dyDescent="0.35">
      <c r="A78" s="61">
        <v>3</v>
      </c>
      <c r="B78" s="63">
        <v>18500000</v>
      </c>
      <c r="C78" s="62" t="s">
        <v>164</v>
      </c>
      <c r="D78" s="62" t="s">
        <v>252</v>
      </c>
      <c r="E78" s="62" t="s">
        <v>304</v>
      </c>
    </row>
    <row r="79" spans="1:5" x14ac:dyDescent="0.35">
      <c r="A79" s="61">
        <v>3</v>
      </c>
      <c r="B79" s="63">
        <v>17500000</v>
      </c>
      <c r="C79" s="62" t="s">
        <v>165</v>
      </c>
      <c r="D79" s="62" t="s">
        <v>253</v>
      </c>
      <c r="E79" s="62" t="s">
        <v>304</v>
      </c>
    </row>
    <row r="80" spans="1:5" x14ac:dyDescent="0.35">
      <c r="A80" s="61">
        <v>3</v>
      </c>
      <c r="B80" s="63">
        <v>30000000</v>
      </c>
      <c r="C80" s="62" t="s">
        <v>157</v>
      </c>
      <c r="D80" s="62" t="s">
        <v>245</v>
      </c>
      <c r="E80" s="62" t="s">
        <v>281</v>
      </c>
    </row>
    <row r="81" spans="1:5" x14ac:dyDescent="0.35">
      <c r="A81" s="61">
        <v>3</v>
      </c>
      <c r="B81" s="63">
        <v>16000000</v>
      </c>
      <c r="C81" s="62" t="s">
        <v>166</v>
      </c>
      <c r="D81" s="62" t="s">
        <v>254</v>
      </c>
      <c r="E81" s="62" t="s">
        <v>281</v>
      </c>
    </row>
    <row r="82" spans="1:5" x14ac:dyDescent="0.35">
      <c r="A82" s="61">
        <v>3</v>
      </c>
      <c r="B82" s="63">
        <v>17000000</v>
      </c>
      <c r="C82" s="62" t="s">
        <v>168</v>
      </c>
      <c r="D82" s="62" t="s">
        <v>256</v>
      </c>
      <c r="E82" s="62" t="s">
        <v>300</v>
      </c>
    </row>
    <row r="83" spans="1:5" x14ac:dyDescent="0.35">
      <c r="A83" s="61">
        <v>3</v>
      </c>
      <c r="B83" s="63">
        <v>17000000</v>
      </c>
      <c r="C83" s="62" t="s">
        <v>169</v>
      </c>
      <c r="D83" s="62" t="s">
        <v>257</v>
      </c>
      <c r="E83" s="62" t="s">
        <v>300</v>
      </c>
    </row>
    <row r="84" spans="1:5" x14ac:dyDescent="0.35">
      <c r="A84" s="61">
        <v>3</v>
      </c>
      <c r="B84" s="63">
        <v>15900000</v>
      </c>
      <c r="C84" s="62" t="s">
        <v>158</v>
      </c>
      <c r="D84" s="62" t="s">
        <v>246</v>
      </c>
      <c r="E84" s="62" t="s">
        <v>285</v>
      </c>
    </row>
    <row r="85" spans="1:5" x14ac:dyDescent="0.35">
      <c r="A85" s="61">
        <v>3</v>
      </c>
      <c r="B85" s="63">
        <v>14500000</v>
      </c>
      <c r="C85" s="62" t="s">
        <v>170</v>
      </c>
      <c r="D85" s="62" t="s">
        <v>258</v>
      </c>
      <c r="E85" s="62" t="s">
        <v>285</v>
      </c>
    </row>
    <row r="86" spans="1:5" x14ac:dyDescent="0.35">
      <c r="A86" s="61">
        <v>3</v>
      </c>
      <c r="B86" s="63">
        <v>26000000</v>
      </c>
      <c r="C86" s="62" t="s">
        <v>174</v>
      </c>
      <c r="D86" s="62" t="s">
        <v>262</v>
      </c>
      <c r="E86" s="62" t="s">
        <v>289</v>
      </c>
    </row>
    <row r="87" spans="1:5" x14ac:dyDescent="0.35">
      <c r="A87" s="61">
        <v>3</v>
      </c>
      <c r="B87" s="63">
        <v>15430655</v>
      </c>
      <c r="C87" s="62" t="s">
        <v>159</v>
      </c>
      <c r="D87" s="62" t="s">
        <v>247</v>
      </c>
      <c r="E87" s="62" t="s">
        <v>269</v>
      </c>
    </row>
    <row r="88" spans="1:5" x14ac:dyDescent="0.35">
      <c r="A88" s="61">
        <v>3</v>
      </c>
      <c r="B88" s="63">
        <v>13000000</v>
      </c>
      <c r="C88" s="62" t="s">
        <v>171</v>
      </c>
      <c r="D88" s="62" t="s">
        <v>259</v>
      </c>
      <c r="E88" s="62" t="s">
        <v>269</v>
      </c>
    </row>
    <row r="89" spans="1:5" x14ac:dyDescent="0.35">
      <c r="A89" s="61">
        <v>3</v>
      </c>
      <c r="B89" s="63">
        <v>13663924</v>
      </c>
      <c r="C89" s="62" t="s">
        <v>172</v>
      </c>
      <c r="D89" s="62" t="s">
        <v>260</v>
      </c>
      <c r="E89" s="62" t="s">
        <v>269</v>
      </c>
    </row>
    <row r="90" spans="1:5" x14ac:dyDescent="0.35">
      <c r="A90" s="61">
        <v>3</v>
      </c>
      <c r="B90" s="63">
        <v>23000000</v>
      </c>
      <c r="C90" s="62" t="s">
        <v>136</v>
      </c>
      <c r="D90" s="62" t="s">
        <v>224</v>
      </c>
      <c r="E90" s="62" t="s">
        <v>298</v>
      </c>
    </row>
  </sheetData>
  <sortState xmlns:xlrd2="http://schemas.microsoft.com/office/spreadsheetml/2017/richdata2" ref="A65:J89">
    <sortCondition ref="E65:E8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9A2A25E5621E4FB01A6656374D9759" ma:contentTypeVersion="24" ma:contentTypeDescription="Create a new document." ma:contentTypeScope="" ma:versionID="5034574a9187b607f90a82cc8664c234">
  <xsd:schema xmlns:xsd="http://www.w3.org/2001/XMLSchema" xmlns:xs="http://www.w3.org/2001/XMLSchema" xmlns:p="http://schemas.microsoft.com/office/2006/metadata/properties" xmlns:ns2="431100d4-4470-42c1-96bc-46686c1829ae" xmlns:ns3="07da3740-463b-4cf7-bfb8-6875f2c449a4" targetNamespace="http://schemas.microsoft.com/office/2006/metadata/properties" ma:root="true" ma:fieldsID="6bbe3351e7322d3ff9c214da88742d16" ns2:_="" ns3:_="">
    <xsd:import namespace="431100d4-4470-42c1-96bc-46686c1829ae"/>
    <xsd:import namespace="07da3740-463b-4cf7-bfb8-6875f2c449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da3740-463b-4cf7-bfb8-6875f2c44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stSharedByUser xmlns="431100d4-4470-42c1-96bc-46686c1829ae" xsi:nil="true"/>
    <SharedWithUsers xmlns="431100d4-4470-42c1-96bc-46686c1829ae">
      <UserInfo>
        <DisplayName/>
        <AccountId xsi:nil="true"/>
        <AccountType/>
      </UserInfo>
    </SharedWithUsers>
    <LastSharedByTime xmlns="431100d4-4470-42c1-96bc-46686c1829ae" xsi:nil="true"/>
  </documentManagement>
</p:properties>
</file>

<file path=customXml/itemProps1.xml><?xml version="1.0" encoding="utf-8"?>
<ds:datastoreItem xmlns:ds="http://schemas.openxmlformats.org/officeDocument/2006/customXml" ds:itemID="{28540FA7-FA89-45C4-B9ED-3E89C8D644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100d4-4470-42c1-96bc-46686c1829ae"/>
    <ds:schemaRef ds:uri="07da3740-463b-4cf7-bfb8-6875f2c449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B2E6AF-234C-45F4-9913-BBA7C935CB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188D80-AF95-4723-8183-3C0E55745341}">
  <ds:schemaRefs>
    <ds:schemaRef ds:uri="http://purl.org/dc/dcmitype/"/>
    <ds:schemaRef ds:uri="07da3740-463b-4cf7-bfb8-6875f2c449a4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431100d4-4470-42c1-96bc-46686c1829a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Strategy1</vt:lpstr>
      <vt:lpstr>Strategy 2</vt:lpstr>
      <vt:lpstr>RecStrat(Jun3)</vt:lpstr>
      <vt:lpstr>Jun 3 - Meagan</vt:lpstr>
      <vt:lpstr>Review Order -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Cutler</dc:creator>
  <cp:keywords/>
  <dc:description/>
  <cp:lastModifiedBy>Ryan Fleming</cp:lastModifiedBy>
  <cp:revision/>
  <dcterms:created xsi:type="dcterms:W3CDTF">2020-05-22T15:24:26Z</dcterms:created>
  <dcterms:modified xsi:type="dcterms:W3CDTF">2020-12-02T13:20:44Z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0x0101008D9A2A25E5621E4FB01A6656374D9759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</Properties>
</file>