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1AE536CD-0736-4C6F-9409-022915ECAA47}" xr6:coauthVersionLast="44" xr6:coauthVersionMax="44" xr10:uidLastSave="{00000000-0000-0000-0000-000000000000}"/>
  <workbookProtection workbookAlgorithmName="SHA-512" workbookHashValue="lWoIwgIB1LUz+rEIp0MvFNZQw2qVYWno5yyY2G/Mkn4xBnlMq4FtT+Q0pDkXTdLOAcM2wvi9eEUdvhVDdOCuRA==" workbookSaltValue="oKKYHJi+M1RhG+Huv4oxpw==" workbookSpinCount="100000" lockStructure="1"/>
  <bookViews>
    <workbookView xWindow="3996" yWindow="5256" windowWidth="18372" windowHeight="549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I408" i="72" l="1"/>
  <c r="H121" i="66"/>
  <c r="L27" i="68" l="1"/>
  <c r="L26" i="68"/>
  <c r="F218" i="75"/>
  <c r="S73" i="78" l="1"/>
  <c r="J73" i="78"/>
  <c r="J55" i="78"/>
  <c r="G55" i="78"/>
  <c r="G63" i="78"/>
  <c r="G54" i="78"/>
  <c r="G85" i="78"/>
  <c r="G5" i="74"/>
  <c r="F216" i="75" l="1"/>
  <c r="F215" i="75"/>
  <c r="S55" i="78"/>
  <c r="G59" i="78"/>
  <c r="J72" i="78"/>
  <c r="G72" i="78"/>
  <c r="G66" i="78"/>
  <c r="J56" i="78"/>
  <c r="G56" i="78"/>
  <c r="G73" i="78"/>
  <c r="J74" i="78"/>
  <c r="G74" i="78"/>
  <c r="J10" i="78"/>
  <c r="G10" i="78"/>
  <c r="G81" i="78"/>
  <c r="S25" i="78"/>
  <c r="L19" i="76" l="1"/>
  <c r="K19" i="76"/>
  <c r="J19" i="76"/>
  <c r="F102" i="78" l="1"/>
  <c r="F101" i="78"/>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L2039" i="94" s="1"/>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O1966" i="94"/>
  <c r="O1965" i="94"/>
  <c r="Q1965" i="94" s="1"/>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Q1929" i="94" s="1"/>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L1815" i="94" s="1"/>
  <c r="M1815" i="94" s="1"/>
  <c r="T1815" i="94" s="1"/>
  <c r="J1815" i="94"/>
  <c r="I1815" i="94"/>
  <c r="H1815" i="94"/>
  <c r="K1814" i="94"/>
  <c r="L1814" i="94" s="1"/>
  <c r="M1814" i="94" s="1"/>
  <c r="T1814" i="94" s="1"/>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Q1737" i="94" s="1"/>
  <c r="O1736" i="94"/>
  <c r="Q1736" i="94" s="1"/>
  <c r="O1735" i="94"/>
  <c r="Q1735" i="94" s="1"/>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P2088" i="94"/>
  <c r="Q2079" i="94"/>
  <c r="L2070" i="94"/>
  <c r="R2068" i="94"/>
  <c r="P2068" i="94"/>
  <c r="M2052" i="94"/>
  <c r="Q2039" i="94"/>
  <c r="S2034" i="94"/>
  <c r="R2034" i="94"/>
  <c r="P2032" i="94"/>
  <c r="J2032" i="94"/>
  <c r="P2017" i="94"/>
  <c r="L2007" i="94"/>
  <c r="I2007" i="94"/>
  <c r="G1999" i="94"/>
  <c r="G1991" i="94"/>
  <c r="P1990" i="94"/>
  <c r="P2098" i="94" s="1"/>
  <c r="P1982" i="94"/>
  <c r="P1978" i="94"/>
  <c r="P1984" i="94" s="1"/>
  <c r="Q1970" i="94"/>
  <c r="Q1969" i="94"/>
  <c r="Q1966" i="94"/>
  <c r="L1966" i="94"/>
  <c r="Q1955" i="94"/>
  <c r="L1955" i="94"/>
  <c r="J1955" i="94"/>
  <c r="L1954" i="94"/>
  <c r="U1948" i="94"/>
  <c r="U1947" i="94"/>
  <c r="M1947" i="94" s="1"/>
  <c r="P1946" i="94"/>
  <c r="K1941" i="94"/>
  <c r="P1936" i="94"/>
  <c r="M1930" i="94"/>
  <c r="G1928" i="94"/>
  <c r="J1927" i="94"/>
  <c r="L1884" i="94"/>
  <c r="K1884" i="94"/>
  <c r="K1882" i="94"/>
  <c r="L1880" i="94"/>
  <c r="L1870" i="94"/>
  <c r="I1861" i="94"/>
  <c r="J1859" i="94"/>
  <c r="Q1858" i="94"/>
  <c r="L1858" i="94"/>
  <c r="L1857" i="94"/>
  <c r="L1856" i="94"/>
  <c r="L1855" i="94"/>
  <c r="P1853" i="94"/>
  <c r="J1830" i="94"/>
  <c r="J1829" i="94"/>
  <c r="J1828" i="94"/>
  <c r="K1826" i="94"/>
  <c r="H1826" i="94"/>
  <c r="T1820" i="94"/>
  <c r="F1808" i="94"/>
  <c r="Q1772" i="94"/>
  <c r="Q1770" i="94"/>
  <c r="Q1769" i="94"/>
  <c r="Q1763" i="94"/>
  <c r="L1763" i="94"/>
  <c r="L1757" i="94"/>
  <c r="J1757" i="94"/>
  <c r="Q1748" i="94"/>
  <c r="Q1745" i="94"/>
  <c r="Q1744" i="94"/>
  <c r="F1738" i="94"/>
  <c r="J1720" i="94"/>
  <c r="P1709" i="94"/>
  <c r="M1934" i="94" s="1"/>
  <c r="J1704" i="94"/>
  <c r="K1700" i="94"/>
  <c r="P1699" i="94"/>
  <c r="K1697" i="94"/>
  <c r="O1681" i="94"/>
  <c r="P1678" i="94" s="1"/>
  <c r="J1681" i="94"/>
  <c r="F1681" i="94"/>
  <c r="P1673" i="94" s="1"/>
  <c r="P1674" i="94"/>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N1548" i="94" s="1"/>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F1746" i="94" l="1"/>
  <c r="K1969" i="94"/>
  <c r="L1816" i="94"/>
  <c r="M1816" i="94" s="1"/>
  <c r="T1816" i="94" s="1"/>
  <c r="U1814" i="94" s="1"/>
  <c r="H1736" i="94"/>
  <c r="L1965" i="94"/>
  <c r="F1325" i="94"/>
  <c r="H1325" i="94"/>
  <c r="I1325" i="94"/>
  <c r="K1325" i="94"/>
  <c r="L2034" i="94"/>
  <c r="L1465" i="94"/>
  <c r="P1819" i="94"/>
  <c r="P1801" i="94" s="1"/>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s="1"/>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JL785" i="94" s="1"/>
  <c r="M786" i="94"/>
  <c r="N786" i="94"/>
  <c r="O786" i="94"/>
  <c r="GU786" i="94" s="1"/>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LH779" i="94" s="1"/>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F782" i="94"/>
  <c r="G782" i="94"/>
  <c r="H782" i="94"/>
  <c r="J782" i="94"/>
  <c r="C783" i="94"/>
  <c r="Y783" i="94" s="1"/>
  <c r="D783" i="94"/>
  <c r="E783" i="94"/>
  <c r="F783" i="94"/>
  <c r="G783" i="94"/>
  <c r="H783" i="94"/>
  <c r="J783" i="94"/>
  <c r="C784" i="94"/>
  <c r="D784" i="94"/>
  <c r="E784" i="94"/>
  <c r="F784" i="94"/>
  <c r="G784" i="94"/>
  <c r="H784" i="94"/>
  <c r="J784" i="94"/>
  <c r="C785" i="94"/>
  <c r="D785" i="94"/>
  <c r="E785" i="94"/>
  <c r="F785" i="94"/>
  <c r="G785" i="94"/>
  <c r="H785" i="94"/>
  <c r="J785" i="94"/>
  <c r="DH785" i="94" s="1"/>
  <c r="C786" i="94"/>
  <c r="D786" i="94"/>
  <c r="E786" i="94"/>
  <c r="F786" i="94"/>
  <c r="G786" i="94"/>
  <c r="H786" i="94"/>
  <c r="J786" i="94"/>
  <c r="C787" i="94"/>
  <c r="GC787" i="94" s="1"/>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FV792" i="94" s="1"/>
  <c r="C793" i="94"/>
  <c r="D793" i="94"/>
  <c r="E793" i="94"/>
  <c r="F793" i="94"/>
  <c r="G793" i="94"/>
  <c r="H793" i="94"/>
  <c r="J793" i="94"/>
  <c r="DJ793" i="94" s="1"/>
  <c r="C794" i="94"/>
  <c r="FU794" i="94" s="1"/>
  <c r="D794" i="94"/>
  <c r="E794" i="94"/>
  <c r="F794" i="94"/>
  <c r="G794" i="94"/>
  <c r="H794" i="94"/>
  <c r="J794" i="94"/>
  <c r="C795" i="94"/>
  <c r="IB795" i="94" s="1"/>
  <c r="D795" i="94"/>
  <c r="E795" i="94"/>
  <c r="F795" i="94"/>
  <c r="G795" i="94"/>
  <c r="H795" i="94"/>
  <c r="J795" i="94"/>
  <c r="C796" i="94"/>
  <c r="D796" i="94"/>
  <c r="E796" i="94"/>
  <c r="F796" i="94"/>
  <c r="G796" i="94"/>
  <c r="H796" i="94"/>
  <c r="J796" i="94"/>
  <c r="C797" i="94"/>
  <c r="GA797" i="94" s="1"/>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AL802" i="94" s="1"/>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B774" i="94"/>
  <c r="B775" i="94"/>
  <c r="B776" i="94"/>
  <c r="B777" i="94"/>
  <c r="B778" i="94"/>
  <c r="B779" i="94"/>
  <c r="B780" i="94"/>
  <c r="B781" i="94"/>
  <c r="B782" i="94"/>
  <c r="B783" i="94"/>
  <c r="B784" i="94"/>
  <c r="B785" i="94"/>
  <c r="LL785" i="94" s="1"/>
  <c r="B786" i="94"/>
  <c r="LO786" i="94" s="1"/>
  <c r="B787" i="94"/>
  <c r="B788" i="94"/>
  <c r="B789" i="94"/>
  <c r="B790" i="94"/>
  <c r="B791" i="94"/>
  <c r="B792" i="94"/>
  <c r="B793" i="94"/>
  <c r="DC793" i="94" s="1"/>
  <c r="B794" i="94"/>
  <c r="LF794" i="94" s="1"/>
  <c r="B795" i="94"/>
  <c r="B796" i="94"/>
  <c r="B797" i="94"/>
  <c r="B798" i="94"/>
  <c r="B799" i="94"/>
  <c r="B800" i="94"/>
  <c r="B801" i="94"/>
  <c r="BJ801" i="94" s="1"/>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LL802" i="94"/>
  <c r="BH802" i="94"/>
  <c r="BG802" i="94"/>
  <c r="IA801" i="94"/>
  <c r="GD800" i="94"/>
  <c r="GB800" i="94"/>
  <c r="EF800" i="94"/>
  <c r="EE800" i="94"/>
  <c r="HY797" i="94"/>
  <c r="LN794" i="94"/>
  <c r="LM794" i="94"/>
  <c r="GO794" i="94"/>
  <c r="GK794" i="94"/>
  <c r="FL794" i="94"/>
  <c r="FE794" i="94"/>
  <c r="EV794" i="94"/>
  <c r="EO794" i="94"/>
  <c r="BG794" i="94"/>
  <c r="BF794" i="94"/>
  <c r="AQ794" i="94"/>
  <c r="AI794" i="94"/>
  <c r="Z794" i="94"/>
  <c r="IC793" i="94"/>
  <c r="IB793" i="94"/>
  <c r="HY793" i="94"/>
  <c r="GE793" i="94"/>
  <c r="GC793" i="94"/>
  <c r="GA793" i="94"/>
  <c r="FV793" i="94"/>
  <c r="EW793" i="94"/>
  <c r="EP793" i="94"/>
  <c r="EG793" i="94"/>
  <c r="EE793" i="94"/>
  <c r="ED793" i="94"/>
  <c r="BK793" i="94"/>
  <c r="BE793" i="94"/>
  <c r="AL793" i="94"/>
  <c r="GD792" i="94"/>
  <c r="GC792" i="94"/>
  <c r="GB792" i="94"/>
  <c r="EG792" i="94"/>
  <c r="EF792" i="94"/>
  <c r="IB789" i="94"/>
  <c r="IA789" i="94"/>
  <c r="HZ789" i="94"/>
  <c r="EG789" i="94"/>
  <c r="EF789" i="94"/>
  <c r="LI787" i="94"/>
  <c r="LH787" i="94"/>
  <c r="JE787" i="94"/>
  <c r="HZ787" i="94"/>
  <c r="HY787" i="94"/>
  <c r="FP787" i="94"/>
  <c r="FL787" i="94"/>
  <c r="FK787" i="94"/>
  <c r="FH787" i="94"/>
  <c r="FD787" i="94"/>
  <c r="EU787" i="94"/>
  <c r="ER787" i="94"/>
  <c r="EN787" i="94"/>
  <c r="EM787" i="94"/>
  <c r="EJ787" i="94"/>
  <c r="DQ787" i="94"/>
  <c r="DP787" i="94"/>
  <c r="DI787" i="94"/>
  <c r="DA787" i="94"/>
  <c r="CZ787" i="94"/>
  <c r="CC787" i="94"/>
  <c r="BU787" i="94"/>
  <c r="BT787" i="94"/>
  <c r="BM787" i="94"/>
  <c r="BI787" i="94"/>
  <c r="AZ787" i="94"/>
  <c r="AW787" i="94"/>
  <c r="AS787" i="94"/>
  <c r="AR787" i="94"/>
  <c r="AO787" i="94"/>
  <c r="AC787" i="94"/>
  <c r="AB787" i="94"/>
  <c r="Y787" i="94"/>
  <c r="LY786" i="94"/>
  <c r="LX786" i="94"/>
  <c r="LQ786" i="94"/>
  <c r="LI786" i="94"/>
  <c r="LH786" i="94"/>
  <c r="LG786" i="94"/>
  <c r="HT786" i="94"/>
  <c r="HL786" i="94"/>
  <c r="HK786" i="94"/>
  <c r="HD786" i="94"/>
  <c r="GV786" i="94"/>
  <c r="GF786" i="94"/>
  <c r="GE786" i="94"/>
  <c r="GD786" i="94"/>
  <c r="GB786" i="94"/>
  <c r="FS786" i="94"/>
  <c r="FR786" i="94"/>
  <c r="FQ786" i="94"/>
  <c r="FO786" i="94"/>
  <c r="FK786" i="94"/>
  <c r="FJ786" i="94"/>
  <c r="FI786" i="94"/>
  <c r="FG786" i="94"/>
  <c r="FC786" i="94"/>
  <c r="FB786" i="94"/>
  <c r="FA786" i="94"/>
  <c r="EY786" i="94"/>
  <c r="EU786" i="94"/>
  <c r="ET786" i="94"/>
  <c r="ES786" i="94"/>
  <c r="EQ786" i="94"/>
  <c r="EM786" i="94"/>
  <c r="EL786" i="94"/>
  <c r="EK786" i="94"/>
  <c r="EI786" i="94"/>
  <c r="EE786" i="94"/>
  <c r="ED786" i="94"/>
  <c r="EC786" i="94"/>
  <c r="BI786" i="94"/>
  <c r="BE786" i="94"/>
  <c r="BD786" i="94"/>
  <c r="BC786" i="94"/>
  <c r="BA786" i="94"/>
  <c r="AW786" i="94"/>
  <c r="AV786" i="94"/>
  <c r="AU786" i="94"/>
  <c r="AS786" i="94"/>
  <c r="AO786" i="94"/>
  <c r="AN786" i="94"/>
  <c r="AM786" i="94"/>
  <c r="AK786" i="94"/>
  <c r="AJ786" i="94"/>
  <c r="AH786" i="94"/>
  <c r="AG786" i="94"/>
  <c r="AF786" i="94"/>
  <c r="AE786" i="94"/>
  <c r="AD786" i="94"/>
  <c r="AC786" i="94"/>
  <c r="AB786" i="94"/>
  <c r="AA786" i="94"/>
  <c r="Z786" i="94"/>
  <c r="Y786" i="94"/>
  <c r="X786" i="94"/>
  <c r="W786" i="94"/>
  <c r="IC785" i="94"/>
  <c r="IB785" i="94"/>
  <c r="IA785" i="94"/>
  <c r="HZ785" i="94"/>
  <c r="HY785" i="94"/>
  <c r="GE785" i="94"/>
  <c r="GD785" i="94"/>
  <c r="GC785" i="94"/>
  <c r="GB785" i="94"/>
  <c r="GA785" i="94"/>
  <c r="FX785" i="94"/>
  <c r="FT785" i="94"/>
  <c r="FS785" i="94"/>
  <c r="FH785" i="94"/>
  <c r="FD785" i="94"/>
  <c r="FC785" i="94"/>
  <c r="EZ785" i="94"/>
  <c r="EV785" i="94"/>
  <c r="EM785" i="94"/>
  <c r="EJ785" i="94"/>
  <c r="EG785" i="94"/>
  <c r="EF785" i="94"/>
  <c r="EE785" i="94"/>
  <c r="ED785" i="94"/>
  <c r="EC785" i="94"/>
  <c r="DX785" i="94"/>
  <c r="DW785" i="94"/>
  <c r="DT785" i="94"/>
  <c r="DP785" i="94"/>
  <c r="DO785" i="94"/>
  <c r="DD785" i="94"/>
  <c r="CZ785" i="94"/>
  <c r="CY785" i="94"/>
  <c r="CV785" i="94"/>
  <c r="CR785" i="94"/>
  <c r="CJ785" i="94"/>
  <c r="CI785" i="94"/>
  <c r="CF785" i="94"/>
  <c r="CE785" i="94"/>
  <c r="CB785" i="94"/>
  <c r="BT785" i="94"/>
  <c r="BS785" i="94"/>
  <c r="BP785" i="94"/>
  <c r="BO785" i="94"/>
  <c r="BL785" i="94"/>
  <c r="BD785" i="94"/>
  <c r="BC785" i="94"/>
  <c r="AZ785" i="94"/>
  <c r="AY785" i="94"/>
  <c r="AV785" i="94"/>
  <c r="AN785" i="94"/>
  <c r="AM785" i="94"/>
  <c r="AJ785" i="94"/>
  <c r="AI785" i="94"/>
  <c r="AF785" i="94"/>
  <c r="X785" i="94"/>
  <c r="W785" i="94"/>
  <c r="HA782" i="94"/>
  <c r="EO782" i="94"/>
  <c r="BN782" i="94"/>
  <c r="MO781" i="94"/>
  <c r="KH781" i="94"/>
  <c r="JZ781" i="94"/>
  <c r="JB781" i="94"/>
  <c r="IT781" i="94"/>
  <c r="IC781" i="94"/>
  <c r="IB781" i="94"/>
  <c r="IA781" i="94"/>
  <c r="HZ781" i="94"/>
  <c r="HY781" i="94"/>
  <c r="GD781" i="94"/>
  <c r="GA781" i="94"/>
  <c r="EG781" i="94"/>
  <c r="EC781" i="94"/>
  <c r="MR779" i="94"/>
  <c r="LM779" i="94"/>
  <c r="LL779" i="94"/>
  <c r="LI779" i="94"/>
  <c r="LC779" i="94"/>
  <c r="KU779" i="94"/>
  <c r="JW779" i="94"/>
  <c r="JO779" i="94"/>
  <c r="IQ779" i="94"/>
  <c r="II779" i="94"/>
  <c r="IA779" i="94"/>
  <c r="GD779" i="94"/>
  <c r="GC779" i="94"/>
  <c r="FZ779" i="94"/>
  <c r="FY779" i="94"/>
  <c r="FV779" i="94"/>
  <c r="FU779" i="94"/>
  <c r="FR779" i="94"/>
  <c r="FN779" i="94"/>
  <c r="FM779" i="94"/>
  <c r="FJ779" i="94"/>
  <c r="FI779" i="94"/>
  <c r="FF779" i="94"/>
  <c r="FE779" i="94"/>
  <c r="FB779" i="94"/>
  <c r="EX779" i="94"/>
  <c r="EW779" i="94"/>
  <c r="ET779" i="94"/>
  <c r="ES779" i="94"/>
  <c r="EP779" i="94"/>
  <c r="EO779" i="94"/>
  <c r="EL779" i="94"/>
  <c r="EH779" i="94"/>
  <c r="EG779" i="94"/>
  <c r="ED779" i="94"/>
  <c r="EC779" i="94"/>
  <c r="DZ779" i="94"/>
  <c r="DY779" i="94"/>
  <c r="DV779" i="94"/>
  <c r="DU779" i="94"/>
  <c r="DR779" i="94"/>
  <c r="DQ779" i="94"/>
  <c r="DN779" i="94"/>
  <c r="DM779" i="94"/>
  <c r="DJ779" i="94"/>
  <c r="DI779" i="94"/>
  <c r="DF779" i="94"/>
  <c r="DE779" i="94"/>
  <c r="DB779" i="94"/>
  <c r="DA779" i="94"/>
  <c r="CX779" i="94"/>
  <c r="CW779" i="94"/>
  <c r="CT779" i="94"/>
  <c r="CS779" i="94"/>
  <c r="CP779" i="94"/>
  <c r="CO779" i="94"/>
  <c r="CL779" i="94"/>
  <c r="CK779" i="94"/>
  <c r="CH779" i="94"/>
  <c r="CG779" i="94"/>
  <c r="CD779" i="94"/>
  <c r="CC779" i="94"/>
  <c r="BZ779" i="94"/>
  <c r="BY779" i="94"/>
  <c r="BV779" i="94"/>
  <c r="BU779" i="94"/>
  <c r="BR779" i="94"/>
  <c r="BQ779" i="94"/>
  <c r="BN779" i="94"/>
  <c r="BM779" i="94"/>
  <c r="BL779" i="94"/>
  <c r="BJ779" i="94"/>
  <c r="BI779" i="94"/>
  <c r="BF779" i="94"/>
  <c r="BE779" i="94"/>
  <c r="BD779" i="94"/>
  <c r="BB779" i="94"/>
  <c r="BA779" i="94"/>
  <c r="AX779" i="94"/>
  <c r="AW779" i="94"/>
  <c r="AV779" i="94"/>
  <c r="AT779" i="94"/>
  <c r="AS779" i="94"/>
  <c r="AP779" i="94"/>
  <c r="AO779" i="94"/>
  <c r="AN779" i="94"/>
  <c r="AL779" i="94"/>
  <c r="AK779" i="94"/>
  <c r="AH779" i="94"/>
  <c r="AG779" i="94"/>
  <c r="AF779" i="94"/>
  <c r="AD779" i="94"/>
  <c r="AC779" i="94"/>
  <c r="Z779" i="94"/>
  <c r="Y779" i="94"/>
  <c r="X779" i="94"/>
  <c r="ML778" i="94"/>
  <c r="MD778" i="94"/>
  <c r="MA778" i="94"/>
  <c r="LZ778" i="94"/>
  <c r="LY778" i="94"/>
  <c r="LW778" i="94"/>
  <c r="LV778" i="94"/>
  <c r="LS778" i="94"/>
  <c r="LR778" i="94"/>
  <c r="LQ778" i="94"/>
  <c r="LO778" i="94"/>
  <c r="LN778" i="94"/>
  <c r="LM778" i="94"/>
  <c r="LL778" i="94"/>
  <c r="LK778" i="94"/>
  <c r="LJ778" i="94"/>
  <c r="LI778" i="94"/>
  <c r="LH778" i="94"/>
  <c r="LG778" i="94"/>
  <c r="LF778" i="94"/>
  <c r="HV778" i="94"/>
  <c r="HU778" i="94"/>
  <c r="HT778" i="94"/>
  <c r="HR778" i="94"/>
  <c r="HQ778" i="94"/>
  <c r="HN778" i="94"/>
  <c r="HM778" i="94"/>
  <c r="HL778" i="94"/>
  <c r="HK778" i="94"/>
  <c r="HJ778" i="94"/>
  <c r="HI778" i="94"/>
  <c r="HF778" i="94"/>
  <c r="HE778" i="94"/>
  <c r="HD778" i="94"/>
  <c r="HC778" i="94"/>
  <c r="HB778" i="94"/>
  <c r="HA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s="1"/>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M575" i="94" s="1"/>
  <c r="P574" i="94"/>
  <c r="P573" i="94"/>
  <c r="P570" i="94"/>
  <c r="P569" i="94"/>
  <c r="M570" i="94"/>
  <c r="M571" i="94" s="1"/>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J563" i="94" s="1"/>
  <c r="G558" i="94"/>
  <c r="G524" i="94"/>
  <c r="G511" i="94"/>
  <c r="S497" i="94"/>
  <c r="P497" i="94"/>
  <c r="M497" i="94"/>
  <c r="G497" i="94"/>
  <c r="A624" i="94"/>
  <c r="C590" i="94"/>
  <c r="C574" i="94"/>
  <c r="C570" i="94"/>
  <c r="U570" i="94" s="1"/>
  <c r="C555" i="94"/>
  <c r="C549" i="94"/>
  <c r="C548" i="94"/>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S472" i="94" s="1"/>
  <c r="J471" i="94"/>
  <c r="J470" i="94"/>
  <c r="G471" i="94"/>
  <c r="G470" i="94"/>
  <c r="F470" i="94" s="1"/>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U461" i="94" s="1"/>
  <c r="G480" i="94"/>
  <c r="M470" i="94"/>
  <c r="M472" i="94" s="1"/>
  <c r="P470" i="94"/>
  <c r="P472" i="94" s="1"/>
  <c r="M466" i="94"/>
  <c r="G464" i="94"/>
  <c r="G453" i="94"/>
  <c r="J611" i="94"/>
  <c r="O610" i="94"/>
  <c r="W606" i="94"/>
  <c r="W593" i="94"/>
  <c r="W583" i="94"/>
  <c r="W582" i="94"/>
  <c r="W572" i="94"/>
  <c r="O572" i="94"/>
  <c r="J571"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F464" i="94"/>
  <c r="W463" i="94"/>
  <c r="O463" i="94"/>
  <c r="A461" i="94"/>
  <c r="W452" i="94"/>
  <c r="O452" i="94"/>
  <c r="V450" i="94"/>
  <c r="D450" i="94"/>
  <c r="A446" i="94"/>
  <c r="W446" i="94" s="1"/>
  <c r="CK793" i="94" l="1"/>
  <c r="HJ782" i="94"/>
  <c r="EF782" i="94"/>
  <c r="BV782" i="94"/>
  <c r="KX781" i="94"/>
  <c r="IL781" i="94"/>
  <c r="KP781" i="94"/>
  <c r="ID781" i="94"/>
  <c r="JR781" i="94"/>
  <c r="JJ781" i="94"/>
  <c r="EK779" i="94"/>
  <c r="FA779" i="94"/>
  <c r="FQ779" i="94"/>
  <c r="HZ779" i="94"/>
  <c r="AA785" i="94"/>
  <c r="AQ785" i="94"/>
  <c r="BG785" i="94"/>
  <c r="BW785" i="94"/>
  <c r="CM785" i="94"/>
  <c r="DG785" i="94"/>
  <c r="EB785" i="94"/>
  <c r="EN785" i="94"/>
  <c r="FK785" i="94"/>
  <c r="LH785" i="94"/>
  <c r="GN786" i="94"/>
  <c r="AG787" i="94"/>
  <c r="BA787" i="94"/>
  <c r="CJ787" i="94"/>
  <c r="DY787" i="94"/>
  <c r="EV787" i="94"/>
  <c r="FS787" i="94"/>
  <c r="LM787" i="94"/>
  <c r="AB785" i="94"/>
  <c r="AR785" i="94"/>
  <c r="BH785" i="94"/>
  <c r="BX785" i="94"/>
  <c r="CN785" i="94"/>
  <c r="ER785" i="94"/>
  <c r="FL785" i="94"/>
  <c r="LK785" i="94"/>
  <c r="AJ787" i="94"/>
  <c r="BE787" i="94"/>
  <c r="CK787" i="94"/>
  <c r="EE787" i="94"/>
  <c r="EZ787" i="94"/>
  <c r="FT787" i="94"/>
  <c r="D483" i="94"/>
  <c r="AE785" i="94"/>
  <c r="AU785" i="94"/>
  <c r="BK785" i="94"/>
  <c r="CA785" i="94"/>
  <c r="CQ785" i="94"/>
  <c r="DL785" i="94"/>
  <c r="EU785" i="94"/>
  <c r="FP785" i="94"/>
  <c r="AK787" i="94"/>
  <c r="BH787" i="94"/>
  <c r="CS787" i="94"/>
  <c r="EF787" i="94"/>
  <c r="FC787" i="94"/>
  <c r="LM793" i="94"/>
  <c r="EI793" i="94"/>
  <c r="AX793" i="94"/>
  <c r="AQ793" i="94"/>
  <c r="LN793" i="94"/>
  <c r="FO793" i="94"/>
  <c r="AE793" i="94"/>
  <c r="FJ793" i="94"/>
  <c r="Y793" i="94"/>
  <c r="FC793" i="94"/>
  <c r="LJ785" i="94"/>
  <c r="FR785" i="94"/>
  <c r="FJ785" i="94"/>
  <c r="FB785" i="94"/>
  <c r="ET785" i="94"/>
  <c r="EL785" i="94"/>
  <c r="BJ785" i="94"/>
  <c r="BB785" i="94"/>
  <c r="AT785" i="94"/>
  <c r="AL785" i="94"/>
  <c r="AD785" i="94"/>
  <c r="LI785" i="94"/>
  <c r="FQ785" i="94"/>
  <c r="FI785" i="94"/>
  <c r="FA785" i="94"/>
  <c r="ES785" i="94"/>
  <c r="EK785" i="94"/>
  <c r="BI785" i="94"/>
  <c r="BA785" i="94"/>
  <c r="AS785" i="94"/>
  <c r="AK785" i="94"/>
  <c r="AC785" i="94"/>
  <c r="LO785" i="94"/>
  <c r="LG785" i="94"/>
  <c r="FO785" i="94"/>
  <c r="FG785" i="94"/>
  <c r="EY785" i="94"/>
  <c r="EQ785" i="94"/>
  <c r="EI785" i="94"/>
  <c r="LN785" i="94"/>
  <c r="LF785" i="94"/>
  <c r="FN785" i="94"/>
  <c r="FF785" i="94"/>
  <c r="EX785" i="94"/>
  <c r="EP785" i="94"/>
  <c r="EH785" i="94"/>
  <c r="BF785" i="94"/>
  <c r="AX785" i="94"/>
  <c r="AP785" i="94"/>
  <c r="AH785" i="94"/>
  <c r="Z785" i="94"/>
  <c r="LM785" i="94"/>
  <c r="FU785" i="94"/>
  <c r="FM785" i="94"/>
  <c r="FE785" i="94"/>
  <c r="EW785" i="94"/>
  <c r="EO785" i="94"/>
  <c r="BE785" i="94"/>
  <c r="AW785" i="94"/>
  <c r="AO785" i="94"/>
  <c r="AG785" i="94"/>
  <c r="Y785" i="94"/>
  <c r="CP801" i="94"/>
  <c r="CX793" i="94"/>
  <c r="CQ793" i="94"/>
  <c r="CD793" i="94"/>
  <c r="DW793" i="94"/>
  <c r="BW793" i="94"/>
  <c r="DQ793" i="94"/>
  <c r="BR793" i="94"/>
  <c r="LO787" i="94"/>
  <c r="LG787" i="94"/>
  <c r="GE787" i="94"/>
  <c r="FR787" i="94"/>
  <c r="FJ787" i="94"/>
  <c r="FB787" i="94"/>
  <c r="ET787" i="94"/>
  <c r="EL787" i="94"/>
  <c r="ED787" i="94"/>
  <c r="DO787" i="94"/>
  <c r="CY787" i="94"/>
  <c r="CI787" i="94"/>
  <c r="BS787" i="94"/>
  <c r="BG787" i="94"/>
  <c r="AY787" i="94"/>
  <c r="AQ787" i="94"/>
  <c r="AI787" i="94"/>
  <c r="AA787" i="94"/>
  <c r="LN787" i="94"/>
  <c r="LF787" i="94"/>
  <c r="GD787" i="94"/>
  <c r="FQ787" i="94"/>
  <c r="FI787" i="94"/>
  <c r="FA787" i="94"/>
  <c r="ES787" i="94"/>
  <c r="EK787" i="94"/>
  <c r="EC787" i="94"/>
  <c r="DM787" i="94"/>
  <c r="CW787" i="94"/>
  <c r="CG787" i="94"/>
  <c r="BQ787" i="94"/>
  <c r="BF787" i="94"/>
  <c r="AX787" i="94"/>
  <c r="AP787" i="94"/>
  <c r="AH787" i="94"/>
  <c r="Z787" i="94"/>
  <c r="LL787" i="94"/>
  <c r="IC787" i="94"/>
  <c r="GB787" i="94"/>
  <c r="FO787" i="94"/>
  <c r="FG787" i="94"/>
  <c r="EY787" i="94"/>
  <c r="EQ787" i="94"/>
  <c r="EI787" i="94"/>
  <c r="DX787" i="94"/>
  <c r="DH787" i="94"/>
  <c r="CR787" i="94"/>
  <c r="CB787" i="94"/>
  <c r="BL787" i="94"/>
  <c r="BD787" i="94"/>
  <c r="AV787" i="94"/>
  <c r="AN787" i="94"/>
  <c r="AF787" i="94"/>
  <c r="X787" i="94"/>
  <c r="LK787" i="94"/>
  <c r="IB787" i="94"/>
  <c r="GA787" i="94"/>
  <c r="FN787" i="94"/>
  <c r="FF787" i="94"/>
  <c r="EX787" i="94"/>
  <c r="EP787" i="94"/>
  <c r="EH787" i="94"/>
  <c r="DW787" i="94"/>
  <c r="DG787" i="94"/>
  <c r="CQ787" i="94"/>
  <c r="CA787" i="94"/>
  <c r="BK787" i="94"/>
  <c r="BC787" i="94"/>
  <c r="AU787" i="94"/>
  <c r="AM787" i="94"/>
  <c r="AE787" i="94"/>
  <c r="W787" i="94"/>
  <c r="LJ787" i="94"/>
  <c r="IA787" i="94"/>
  <c r="FU787" i="94"/>
  <c r="FM787" i="94"/>
  <c r="FE787" i="94"/>
  <c r="EW787" i="94"/>
  <c r="EO787" i="94"/>
  <c r="EG787" i="94"/>
  <c r="DU787" i="94"/>
  <c r="DE787" i="94"/>
  <c r="CO787" i="94"/>
  <c r="BY787" i="94"/>
  <c r="BJ787" i="94"/>
  <c r="BB787" i="94"/>
  <c r="AT787" i="94"/>
  <c r="AL787" i="94"/>
  <c r="AD787" i="94"/>
  <c r="FZ785" i="94"/>
  <c r="DV785" i="94"/>
  <c r="DN785" i="94"/>
  <c r="DF785" i="94"/>
  <c r="CX785" i="94"/>
  <c r="CP785" i="94"/>
  <c r="CH785" i="94"/>
  <c r="BZ785" i="94"/>
  <c r="BR785" i="94"/>
  <c r="FY785" i="94"/>
  <c r="DU785" i="94"/>
  <c r="DM785" i="94"/>
  <c r="DE785" i="94"/>
  <c r="CW785" i="94"/>
  <c r="CO785" i="94"/>
  <c r="CG785" i="94"/>
  <c r="BY785" i="94"/>
  <c r="BQ785" i="94"/>
  <c r="FW785" i="94"/>
  <c r="EA785" i="94"/>
  <c r="DS785" i="94"/>
  <c r="DK785" i="94"/>
  <c r="DC785" i="94"/>
  <c r="CU785" i="94"/>
  <c r="FV785" i="94"/>
  <c r="DZ785" i="94"/>
  <c r="DR785" i="94"/>
  <c r="DJ785" i="94"/>
  <c r="DB785" i="94"/>
  <c r="CT785" i="94"/>
  <c r="CL785" i="94"/>
  <c r="CD785" i="94"/>
  <c r="BV785" i="94"/>
  <c r="BN785" i="94"/>
  <c r="DY785" i="94"/>
  <c r="DQ785" i="94"/>
  <c r="DI785" i="94"/>
  <c r="DA785" i="94"/>
  <c r="CS785" i="94"/>
  <c r="CK785" i="94"/>
  <c r="CC785" i="94"/>
  <c r="BU785" i="94"/>
  <c r="BM785" i="94"/>
  <c r="LK779" i="94"/>
  <c r="KM779" i="94"/>
  <c r="IC779" i="94"/>
  <c r="GB779" i="94"/>
  <c r="FT779" i="94"/>
  <c r="FL779" i="94"/>
  <c r="FD779" i="94"/>
  <c r="EV779" i="94"/>
  <c r="EN779" i="94"/>
  <c r="EF779" i="94"/>
  <c r="DX779" i="94"/>
  <c r="DP779" i="94"/>
  <c r="DH779" i="94"/>
  <c r="CZ779" i="94"/>
  <c r="CR779" i="94"/>
  <c r="CJ779" i="94"/>
  <c r="CB779" i="94"/>
  <c r="BT779" i="94"/>
  <c r="LJ779" i="94"/>
  <c r="KE779" i="94"/>
  <c r="IB779" i="94"/>
  <c r="GA779" i="94"/>
  <c r="FS779" i="94"/>
  <c r="FK779" i="94"/>
  <c r="FC779" i="94"/>
  <c r="EU779" i="94"/>
  <c r="EM779" i="94"/>
  <c r="EE779" i="94"/>
  <c r="DW779" i="94"/>
  <c r="DO779" i="94"/>
  <c r="DG779" i="94"/>
  <c r="CY779" i="94"/>
  <c r="CQ779" i="94"/>
  <c r="CI779" i="94"/>
  <c r="CA779" i="94"/>
  <c r="BS779" i="94"/>
  <c r="BK779" i="94"/>
  <c r="BC779" i="94"/>
  <c r="AU779" i="94"/>
  <c r="AM779" i="94"/>
  <c r="AE779" i="94"/>
  <c r="W779" i="94"/>
  <c r="LO779" i="94"/>
  <c r="LG779" i="94"/>
  <c r="JG779" i="94"/>
  <c r="HY779" i="94"/>
  <c r="FX779" i="94"/>
  <c r="FP779" i="94"/>
  <c r="FH779" i="94"/>
  <c r="EZ779" i="94"/>
  <c r="ER779" i="94"/>
  <c r="EJ779" i="94"/>
  <c r="EB779" i="94"/>
  <c r="DT779" i="94"/>
  <c r="DL779" i="94"/>
  <c r="DD779" i="94"/>
  <c r="CV779" i="94"/>
  <c r="CN779" i="94"/>
  <c r="CF779" i="94"/>
  <c r="BX779" i="94"/>
  <c r="BP779" i="94"/>
  <c r="BH779" i="94"/>
  <c r="AZ779" i="94"/>
  <c r="AR779" i="94"/>
  <c r="AJ779" i="94"/>
  <c r="AB779" i="94"/>
  <c r="LN779" i="94"/>
  <c r="LF779" i="94"/>
  <c r="IY779" i="94"/>
  <c r="GE779" i="94"/>
  <c r="FW779" i="94"/>
  <c r="FO779" i="94"/>
  <c r="FG779" i="94"/>
  <c r="EY779" i="94"/>
  <c r="EQ779" i="94"/>
  <c r="EI779" i="94"/>
  <c r="EA779" i="94"/>
  <c r="DS779" i="94"/>
  <c r="DK779" i="94"/>
  <c r="DC779" i="94"/>
  <c r="CU779" i="94"/>
  <c r="CM779" i="94"/>
  <c r="CE779" i="94"/>
  <c r="BW779" i="94"/>
  <c r="BO779" i="94"/>
  <c r="BG779" i="94"/>
  <c r="AY779" i="94"/>
  <c r="AQ779" i="94"/>
  <c r="AI779" i="94"/>
  <c r="AA779" i="94"/>
  <c r="LW786" i="94"/>
  <c r="HJ786" i="94"/>
  <c r="GT786" i="94"/>
  <c r="LU786" i="94"/>
  <c r="HX786" i="94"/>
  <c r="HH786" i="94"/>
  <c r="GR786" i="94"/>
  <c r="LP786" i="94"/>
  <c r="HS786" i="94"/>
  <c r="HC786" i="94"/>
  <c r="GM786" i="94"/>
  <c r="HR786" i="94"/>
  <c r="HB786" i="94"/>
  <c r="GL786" i="94"/>
  <c r="MC786" i="94"/>
  <c r="HP786" i="94"/>
  <c r="GZ786" i="94"/>
  <c r="GJ786" i="94"/>
  <c r="LX778" i="94"/>
  <c r="LP778" i="94"/>
  <c r="HS778" i="94"/>
  <c r="MC778" i="94"/>
  <c r="LU778" i="94"/>
  <c r="HX778" i="94"/>
  <c r="HP778" i="94"/>
  <c r="HH778" i="94"/>
  <c r="GZ778" i="94"/>
  <c r="MB778" i="94"/>
  <c r="LT778" i="94"/>
  <c r="HW778" i="94"/>
  <c r="HO778" i="94"/>
  <c r="HG778" i="94"/>
  <c r="GY778" i="94"/>
  <c r="LM786" i="94"/>
  <c r="AX794" i="94"/>
  <c r="EW794" i="94"/>
  <c r="HX794" i="94"/>
  <c r="EZ802" i="94"/>
  <c r="ML772" i="94"/>
  <c r="AY794" i="94"/>
  <c r="FD794" i="94"/>
  <c r="FG802" i="94"/>
  <c r="GB781" i="94"/>
  <c r="AA794" i="94"/>
  <c r="EF794" i="94"/>
  <c r="FM794" i="94"/>
  <c r="AJ802" i="94"/>
  <c r="IB780" i="94"/>
  <c r="IA774" i="94"/>
  <c r="AH794" i="94"/>
  <c r="EG794" i="94"/>
  <c r="DH795" i="94"/>
  <c r="GB808" i="94"/>
  <c r="FY784" i="94"/>
  <c r="GR782" i="94"/>
  <c r="ED784" i="94"/>
  <c r="FZ784" i="94"/>
  <c r="EF784" i="94"/>
  <c r="GB784" i="94"/>
  <c r="EG784" i="94"/>
  <c r="GC784" i="94"/>
  <c r="FV784" i="94"/>
  <c r="GD784" i="94"/>
  <c r="GA784" i="94"/>
  <c r="FW784" i="94"/>
  <c r="GE784" i="94"/>
  <c r="EE784" i="94"/>
  <c r="FX784" i="94"/>
  <c r="LP784" i="94"/>
  <c r="EC784" i="94"/>
  <c r="CD782" i="94"/>
  <c r="EX782" i="94"/>
  <c r="HS782" i="94"/>
  <c r="LH782" i="94"/>
  <c r="Z782" i="94"/>
  <c r="CL782" i="94"/>
  <c r="FG782" i="94"/>
  <c r="LG782" i="94"/>
  <c r="AH782" i="94"/>
  <c r="CU782" i="94"/>
  <c r="FP782" i="94"/>
  <c r="LQ782" i="94"/>
  <c r="AP782" i="94"/>
  <c r="DD782" i="94"/>
  <c r="FZ782" i="94"/>
  <c r="MA782" i="94"/>
  <c r="AX782" i="94"/>
  <c r="DN782" i="94"/>
  <c r="GI782" i="94"/>
  <c r="BF782" i="94"/>
  <c r="DW782" i="94"/>
  <c r="GC781" i="94"/>
  <c r="ED781" i="94"/>
  <c r="GE781" i="94"/>
  <c r="EE781" i="94"/>
  <c r="EF781" i="94"/>
  <c r="EC775" i="94"/>
  <c r="G472" i="94"/>
  <c r="J483" i="94"/>
  <c r="U555" i="94"/>
  <c r="P571" i="94"/>
  <c r="S575" i="94"/>
  <c r="S468" i="94"/>
  <c r="P478" i="94"/>
  <c r="J472" i="94"/>
  <c r="S522" i="94"/>
  <c r="G575" i="94"/>
  <c r="V472" i="94"/>
  <c r="V483" i="94"/>
  <c r="V486" i="94" s="1"/>
  <c r="V556" i="94"/>
  <c r="A570" i="94"/>
  <c r="IC797" i="94"/>
  <c r="IB797" i="94"/>
  <c r="IA797" i="94"/>
  <c r="HZ797" i="94"/>
  <c r="HY789" i="94"/>
  <c r="EE789" i="94"/>
  <c r="GE789" i="94"/>
  <c r="ED789" i="94"/>
  <c r="GD789" i="94"/>
  <c r="EC789" i="94"/>
  <c r="JS789" i="94"/>
  <c r="GC789" i="94"/>
  <c r="IC789" i="94"/>
  <c r="GB789" i="94"/>
  <c r="FZ787" i="94"/>
  <c r="DV787" i="94"/>
  <c r="DN787" i="94"/>
  <c r="DF787" i="94"/>
  <c r="CX787" i="94"/>
  <c r="CP787" i="94"/>
  <c r="CH787" i="94"/>
  <c r="BZ787" i="94"/>
  <c r="BR787" i="94"/>
  <c r="FY787" i="94"/>
  <c r="FX787" i="94"/>
  <c r="EB787" i="94"/>
  <c r="DT787" i="94"/>
  <c r="DL787" i="94"/>
  <c r="DD787" i="94"/>
  <c r="CV787" i="94"/>
  <c r="CN787" i="94"/>
  <c r="CF787" i="94"/>
  <c r="BX787" i="94"/>
  <c r="BP787" i="94"/>
  <c r="FW787" i="94"/>
  <c r="EA787" i="94"/>
  <c r="DS787" i="94"/>
  <c r="DK787" i="94"/>
  <c r="DC787" i="94"/>
  <c r="CU787" i="94"/>
  <c r="CM787" i="94"/>
  <c r="CE787" i="94"/>
  <c r="BW787" i="94"/>
  <c r="BO787" i="94"/>
  <c r="FV787" i="94"/>
  <c r="DZ787" i="94"/>
  <c r="DR787" i="94"/>
  <c r="DJ787" i="94"/>
  <c r="DB787" i="94"/>
  <c r="CT787" i="94"/>
  <c r="CL787" i="94"/>
  <c r="CD787" i="94"/>
  <c r="BV787" i="94"/>
  <c r="BN787" i="94"/>
  <c r="HL802" i="94"/>
  <c r="ER802" i="94"/>
  <c r="AZ802" i="94"/>
  <c r="AD802" i="94"/>
  <c r="GE802" i="94"/>
  <c r="EQ802" i="94"/>
  <c r="AY802" i="94"/>
  <c r="AB802" i="94"/>
  <c r="FP802" i="94"/>
  <c r="EJ802" i="94"/>
  <c r="AT802" i="94"/>
  <c r="AA802" i="94"/>
  <c r="FO802" i="94"/>
  <c r="EI802" i="94"/>
  <c r="AR802" i="94"/>
  <c r="FH802" i="94"/>
  <c r="BJ802" i="94"/>
  <c r="AQ802" i="94"/>
  <c r="LK802" i="94"/>
  <c r="EY802" i="94"/>
  <c r="BB802" i="94"/>
  <c r="AI802" i="94"/>
  <c r="FZ800" i="94"/>
  <c r="EC800" i="94"/>
  <c r="FY800" i="94"/>
  <c r="FX800" i="94"/>
  <c r="FV800" i="94"/>
  <c r="EG800" i="94"/>
  <c r="GA800" i="94"/>
  <c r="ED800" i="94"/>
  <c r="LK794" i="94"/>
  <c r="HM794" i="94"/>
  <c r="GE794" i="94"/>
  <c r="FR794" i="94"/>
  <c r="FJ794" i="94"/>
  <c r="FB794" i="94"/>
  <c r="ET794" i="94"/>
  <c r="EL794" i="94"/>
  <c r="ED794" i="94"/>
  <c r="BD794" i="94"/>
  <c r="AV794" i="94"/>
  <c r="AN794" i="94"/>
  <c r="AF794" i="94"/>
  <c r="X794" i="94"/>
  <c r="MC794" i="94"/>
  <c r="LJ794" i="94"/>
  <c r="HH794" i="94"/>
  <c r="GD794" i="94"/>
  <c r="FQ794" i="94"/>
  <c r="FI794" i="94"/>
  <c r="FA794" i="94"/>
  <c r="ES794" i="94"/>
  <c r="EK794" i="94"/>
  <c r="EC794" i="94"/>
  <c r="BC794" i="94"/>
  <c r="AU794" i="94"/>
  <c r="AM794" i="94"/>
  <c r="AE794" i="94"/>
  <c r="W794" i="94"/>
  <c r="LW794" i="94"/>
  <c r="LI794" i="94"/>
  <c r="HB794" i="94"/>
  <c r="GC794" i="94"/>
  <c r="FP794" i="94"/>
  <c r="FH794" i="94"/>
  <c r="EZ794" i="94"/>
  <c r="ER794" i="94"/>
  <c r="EJ794" i="94"/>
  <c r="BJ794" i="94"/>
  <c r="BB794" i="94"/>
  <c r="AT794" i="94"/>
  <c r="AL794" i="94"/>
  <c r="AD794" i="94"/>
  <c r="LR794" i="94"/>
  <c r="LH794" i="94"/>
  <c r="GX794" i="94"/>
  <c r="GB794" i="94"/>
  <c r="FO794" i="94"/>
  <c r="FG794" i="94"/>
  <c r="EY794" i="94"/>
  <c r="EQ794" i="94"/>
  <c r="EI794" i="94"/>
  <c r="BI794" i="94"/>
  <c r="BA794" i="94"/>
  <c r="AS794" i="94"/>
  <c r="AK794" i="94"/>
  <c r="AC794" i="94"/>
  <c r="LO794" i="94"/>
  <c r="LG794" i="94"/>
  <c r="GS794" i="94"/>
  <c r="GA794" i="94"/>
  <c r="FN794" i="94"/>
  <c r="FF794" i="94"/>
  <c r="EX794" i="94"/>
  <c r="EP794" i="94"/>
  <c r="EH794" i="94"/>
  <c r="BH794" i="94"/>
  <c r="AZ794" i="94"/>
  <c r="AR794" i="94"/>
  <c r="AJ794" i="94"/>
  <c r="AB794" i="94"/>
  <c r="LL794" i="94"/>
  <c r="HR794" i="94"/>
  <c r="GG794" i="94"/>
  <c r="FS794" i="94"/>
  <c r="FK794" i="94"/>
  <c r="FC794" i="94"/>
  <c r="EU794" i="94"/>
  <c r="EM794" i="94"/>
  <c r="EE794" i="94"/>
  <c r="BE794" i="94"/>
  <c r="AW794" i="94"/>
  <c r="AO794" i="94"/>
  <c r="AG794" i="94"/>
  <c r="Y794" i="94"/>
  <c r="GA792" i="94"/>
  <c r="EE792" i="94"/>
  <c r="FZ792" i="94"/>
  <c r="ED792" i="94"/>
  <c r="FY792" i="94"/>
  <c r="EC792" i="94"/>
  <c r="FX792" i="94"/>
  <c r="GE792" i="94"/>
  <c r="FW792" i="94"/>
  <c r="MD786" i="94"/>
  <c r="LV786" i="94"/>
  <c r="LN786" i="94"/>
  <c r="LF786" i="94"/>
  <c r="HQ786" i="94"/>
  <c r="HI786" i="94"/>
  <c r="HA786" i="94"/>
  <c r="GS786" i="94"/>
  <c r="GK786" i="94"/>
  <c r="GC786" i="94"/>
  <c r="FP786" i="94"/>
  <c r="FH786" i="94"/>
  <c r="EZ786" i="94"/>
  <c r="ER786" i="94"/>
  <c r="EJ786" i="94"/>
  <c r="BJ786" i="94"/>
  <c r="BB786" i="94"/>
  <c r="AT786" i="94"/>
  <c r="AL786" i="94"/>
  <c r="MB786" i="94"/>
  <c r="LT786" i="94"/>
  <c r="LL786" i="94"/>
  <c r="HW786" i="94"/>
  <c r="HO786" i="94"/>
  <c r="HG786" i="94"/>
  <c r="GY786" i="94"/>
  <c r="GQ786" i="94"/>
  <c r="GI786" i="94"/>
  <c r="GA786" i="94"/>
  <c r="FN786" i="94"/>
  <c r="FF786" i="94"/>
  <c r="EX786" i="94"/>
  <c r="EP786" i="94"/>
  <c r="EH786" i="94"/>
  <c r="BH786" i="94"/>
  <c r="AZ786" i="94"/>
  <c r="AR786" i="94"/>
  <c r="MA786" i="94"/>
  <c r="LS786" i="94"/>
  <c r="LK786" i="94"/>
  <c r="HV786" i="94"/>
  <c r="HN786" i="94"/>
  <c r="HF786" i="94"/>
  <c r="GX786" i="94"/>
  <c r="GP786" i="94"/>
  <c r="GH786" i="94"/>
  <c r="FU786" i="94"/>
  <c r="FM786" i="94"/>
  <c r="FE786" i="94"/>
  <c r="EW786" i="94"/>
  <c r="EO786" i="94"/>
  <c r="EG786" i="94"/>
  <c r="BG786" i="94"/>
  <c r="AY786" i="94"/>
  <c r="AQ786" i="94"/>
  <c r="AI786" i="94"/>
  <c r="LZ786" i="94"/>
  <c r="LR786" i="94"/>
  <c r="LJ786" i="94"/>
  <c r="HU786" i="94"/>
  <c r="HM786" i="94"/>
  <c r="HE786" i="94"/>
  <c r="GW786" i="94"/>
  <c r="GO786" i="94"/>
  <c r="GG786" i="94"/>
  <c r="FT786" i="94"/>
  <c r="FL786" i="94"/>
  <c r="FD786" i="94"/>
  <c r="EV786" i="94"/>
  <c r="EN786" i="94"/>
  <c r="EF786" i="94"/>
  <c r="BF786" i="94"/>
  <c r="AX786" i="94"/>
  <c r="AP786" i="94"/>
  <c r="A460" i="94"/>
  <c r="U548" i="94"/>
  <c r="S556" i="94"/>
  <c r="V591" i="94"/>
  <c r="GA789" i="94"/>
  <c r="AP794" i="94"/>
  <c r="EN794" i="94"/>
  <c r="FT794" i="94"/>
  <c r="MA802" i="94"/>
  <c r="ES773" i="94"/>
  <c r="GO783" i="94"/>
  <c r="MS775" i="94"/>
  <c r="CW773" i="94"/>
  <c r="LX777" i="94"/>
  <c r="HT773" i="94"/>
  <c r="FL795" i="94"/>
  <c r="EA793" i="94"/>
  <c r="LT802" i="94"/>
  <c r="MD794"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1" i="94"/>
  <c r="E480" i="94"/>
  <c r="E482" i="94"/>
  <c r="A459" i="94"/>
  <c r="B48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G577" i="94" l="1"/>
  <c r="J577" i="94"/>
  <c r="J594" i="94" s="1"/>
  <c r="J596" i="94" s="1"/>
  <c r="J598" i="94" s="1"/>
  <c r="S577" i="94"/>
  <c r="P1734" i="94"/>
  <c r="P1740" i="94"/>
  <c r="P1719" i="94"/>
  <c r="M577" i="94"/>
  <c r="M594" i="94" s="1"/>
  <c r="M596" i="94" s="1"/>
  <c r="M598" i="94" s="1"/>
  <c r="E1660" i="94"/>
  <c r="K1883" i="94"/>
  <c r="P1964" i="94"/>
  <c r="P1954" i="94" s="1"/>
  <c r="P1968" i="94"/>
  <c r="L1883" i="94"/>
  <c r="P1837" i="94"/>
  <c r="K1879" i="94"/>
  <c r="E1661" i="94"/>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M865" i="94" l="1"/>
  <c r="N904" i="94"/>
  <c r="N899" i="94"/>
  <c r="K904" i="94"/>
  <c r="L899" i="94"/>
  <c r="O893" i="94"/>
  <c r="M903" i="94"/>
  <c r="J868" i="94"/>
  <c r="O917" i="94"/>
  <c r="O824" i="94"/>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P913"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16" i="75"/>
  <c r="I778" i="94" s="1"/>
  <c r="K778" i="94" s="1"/>
  <c r="L778" i="94" s="1"/>
  <c r="I15" i="75"/>
  <c r="I777" i="94" s="1"/>
  <c r="K777" i="94" s="1"/>
  <c r="L777" i="94" s="1"/>
  <c r="I776" i="94"/>
  <c r="K776" i="94" s="1"/>
  <c r="L776" i="94" s="1"/>
  <c r="I775" i="94"/>
  <c r="K775" i="94" s="1"/>
  <c r="L775" i="94" s="1"/>
  <c r="I774" i="94"/>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D1105" i="94" l="1"/>
  <c r="D1073" i="94"/>
  <c r="K1105" i="94"/>
  <c r="C1105" i="94"/>
  <c r="K1073" i="94"/>
  <c r="C1073" i="94"/>
  <c r="J1105" i="94"/>
  <c r="B1105" i="94"/>
  <c r="J1073" i="94"/>
  <c r="B1073" i="94"/>
  <c r="F1135" i="94"/>
  <c r="I1105" i="94"/>
  <c r="I1073" i="94"/>
  <c r="E1135" i="94"/>
  <c r="H1105" i="94"/>
  <c r="H1073" i="94"/>
  <c r="B1135" i="94"/>
  <c r="E1105" i="94"/>
  <c r="E1073" i="94"/>
  <c r="F1105" i="94"/>
  <c r="G1073" i="94"/>
  <c r="F1073" i="94"/>
  <c r="D1135" i="94"/>
  <c r="G1105" i="94"/>
  <c r="C1135" i="94"/>
  <c r="P416" i="94"/>
  <c r="H1107" i="94"/>
  <c r="F1075" i="94"/>
  <c r="F1137" i="94"/>
  <c r="G1107" i="94"/>
  <c r="E1075" i="94"/>
  <c r="E1137" i="94"/>
  <c r="F1107" i="94"/>
  <c r="D1075" i="94"/>
  <c r="D1137" i="94"/>
  <c r="E1107" i="94"/>
  <c r="K1075" i="94"/>
  <c r="C1075" i="94"/>
  <c r="C1137" i="94"/>
  <c r="D1107" i="94"/>
  <c r="J1075" i="94"/>
  <c r="B1075" i="94"/>
  <c r="I1107" i="94"/>
  <c r="G1075" i="94"/>
  <c r="C1107" i="94"/>
  <c r="B1107" i="94"/>
  <c r="B1137" i="94"/>
  <c r="I1075" i="94"/>
  <c r="K1107" i="94"/>
  <c r="H1075" i="94"/>
  <c r="J1107" i="94"/>
  <c r="P418" i="94"/>
  <c r="D1136" i="94"/>
  <c r="J1106" i="94"/>
  <c r="B1106" i="94"/>
  <c r="I1074" i="94"/>
  <c r="C1136" i="94"/>
  <c r="I1106" i="94"/>
  <c r="H1074" i="94"/>
  <c r="B1136" i="94"/>
  <c r="H1106" i="94"/>
  <c r="G1074" i="94"/>
  <c r="G1106" i="94"/>
  <c r="F1074" i="94"/>
  <c r="F1106" i="94"/>
  <c r="E1074" i="94"/>
  <c r="E1136" i="94"/>
  <c r="K1106" i="94"/>
  <c r="C1106" i="94"/>
  <c r="J1074" i="94"/>
  <c r="B1074" i="94"/>
  <c r="K1074" i="94"/>
  <c r="D1074" i="94"/>
  <c r="E1106" i="94"/>
  <c r="F1136" i="94"/>
  <c r="D1106" i="94"/>
  <c r="C1074" i="94"/>
  <c r="P417" i="94"/>
  <c r="F1134" i="94"/>
  <c r="F1104" i="94"/>
  <c r="G1072" i="94"/>
  <c r="E1134" i="94"/>
  <c r="E1104" i="94"/>
  <c r="F1072" i="94"/>
  <c r="D1134" i="94"/>
  <c r="D1104" i="94"/>
  <c r="E1072" i="94"/>
  <c r="C1134" i="94"/>
  <c r="K1104" i="94"/>
  <c r="C1104" i="94"/>
  <c r="D1072" i="94"/>
  <c r="B1134" i="94"/>
  <c r="J1104" i="94"/>
  <c r="B1104" i="94"/>
  <c r="K1072" i="94"/>
  <c r="C1072" i="94"/>
  <c r="G1104" i="94"/>
  <c r="H1072" i="94"/>
  <c r="I1104" i="94"/>
  <c r="B1072" i="94"/>
  <c r="J1072" i="94"/>
  <c r="I1072" i="94"/>
  <c r="H1104"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T1821" i="94"/>
  <c r="P1200" i="94"/>
  <c r="A628" i="94"/>
  <c r="I713"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E1122" i="94" l="1"/>
  <c r="D1132" i="94"/>
  <c r="E1132" i="94" l="1"/>
  <c r="F1122" i="94"/>
  <c r="F1132" i="94" l="1"/>
  <c r="D53" i="92" l="1"/>
  <c r="H52" i="92"/>
  <c r="C52" i="92"/>
  <c r="A206" i="85" l="1"/>
  <c r="A11" i="83"/>
  <c r="I9" i="92"/>
  <c r="G11" i="91"/>
  <c r="F197" i="90" l="1"/>
  <c r="D101" i="90"/>
  <c r="E163" i="90"/>
  <c r="C16" i="90"/>
  <c r="A206" i="90"/>
  <c r="A200" i="90"/>
  <c r="C5" i="90"/>
  <c r="C8" i="84"/>
  <c r="E8" i="84"/>
  <c r="H2" i="91" s="1"/>
  <c r="A2" i="90" l="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K7" i="88"/>
  <c r="A2" i="88" l="1"/>
  <c r="B1" i="87" l="1"/>
  <c r="D54" i="86"/>
  <c r="E54" i="86"/>
  <c r="F54" i="86"/>
  <c r="G54" i="86"/>
  <c r="H54" i="86"/>
  <c r="C1" i="86" l="1"/>
  <c r="H49" i="86"/>
  <c r="E6" i="86"/>
  <c r="E5" i="86"/>
  <c r="E4" i="86"/>
  <c r="G49" i="86"/>
  <c r="F49" i="86"/>
  <c r="E49" i="86"/>
  <c r="D49" i="86"/>
  <c r="O61" i="85"/>
  <c r="F75" i="89"/>
  <c r="E183" i="90" s="1"/>
  <c r="F73" i="89"/>
  <c r="F71" i="89"/>
  <c r="E166" i="90" s="1"/>
  <c r="K24" i="88"/>
  <c r="Q61" i="85"/>
  <c r="N61" i="85"/>
  <c r="L61" i="85"/>
  <c r="F103" i="92"/>
  <c r="E96" i="90"/>
  <c r="E92" i="90"/>
  <c r="F39" i="89"/>
  <c r="D79" i="90" s="1"/>
  <c r="H4" i="86"/>
  <c r="E171" i="90" l="1"/>
  <c r="E170" i="90"/>
  <c r="H1" i="91" l="1"/>
  <c r="C28" i="90"/>
  <c r="G5" i="92" s="1"/>
  <c r="E28" i="89"/>
  <c r="E15" i="89"/>
  <c r="A1" i="89"/>
  <c r="O6" i="86"/>
  <c r="F13" i="85"/>
  <c r="F12" i="85"/>
  <c r="A2" i="83"/>
  <c r="C30" i="84" l="1"/>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K36" i="88" l="1"/>
  <c r="D16" i="83"/>
  <c r="F15" i="85"/>
  <c r="C8" i="90"/>
  <c r="B5" i="92" s="1"/>
  <c r="E65" i="89"/>
  <c r="E5" i="89"/>
  <c r="G6" i="74"/>
  <c r="O12" i="86" l="1"/>
  <c r="K5" i="86"/>
  <c r="F56" i="86"/>
  <c r="E16" i="86" l="1"/>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F84" i="92" l="1"/>
  <c r="C34" i="84"/>
  <c r="C29" i="84"/>
  <c r="K26" i="84" l="1"/>
  <c r="K33" i="84"/>
  <c r="K29" i="84"/>
  <c r="A47" i="84"/>
  <c r="C36" i="84"/>
  <c r="K37" i="84" l="1"/>
  <c r="K35" i="84"/>
  <c r="B18" i="82" l="1"/>
  <c r="B38" i="82"/>
  <c r="B24" i="82"/>
  <c r="B48" i="82"/>
  <c r="C48" i="82" s="1"/>
  <c r="D48" i="82" s="1"/>
  <c r="E48" i="82" l="1"/>
  <c r="F48" i="82" s="1"/>
  <c r="G48" i="82" l="1"/>
  <c r="H48" i="82" l="1"/>
  <c r="I48" i="82" l="1"/>
  <c r="J48" i="82" l="1"/>
  <c r="K48" i="82" l="1"/>
  <c r="B68" i="82" l="1"/>
  <c r="C68" i="82" l="1"/>
  <c r="D68" i="82" l="1"/>
  <c r="E68" i="82" l="1"/>
  <c r="F68" i="82" l="1"/>
  <c r="G68" i="82" l="1"/>
  <c r="H68" i="82" l="1"/>
  <c r="I68" i="82" l="1"/>
  <c r="C59" i="82" l="1"/>
  <c r="D59" i="82" s="1"/>
  <c r="E59" i="82" s="1"/>
  <c r="F59" i="82" s="1"/>
  <c r="G59" i="82" s="1"/>
  <c r="H59" i="82" s="1"/>
  <c r="I59" i="82" s="1"/>
  <c r="J59" i="82" s="1"/>
  <c r="K59" i="82" s="1"/>
  <c r="L59" i="82" s="1"/>
  <c r="M59" i="82" s="1"/>
  <c r="N59" i="82" s="1"/>
  <c r="O59" i="82" s="1"/>
  <c r="P59" i="82" s="1"/>
  <c r="J68" i="82"/>
  <c r="K68" i="82" l="1"/>
  <c r="P449" i="72" l="1"/>
  <c r="L137" i="72" l="1"/>
  <c r="L115" i="72"/>
  <c r="Q137" i="72"/>
  <c r="Q115" i="72"/>
  <c r="Q122" i="72" l="1"/>
  <c r="Q123" i="72"/>
  <c r="Q124" i="72"/>
  <c r="Q121" i="72"/>
  <c r="J109" i="72"/>
  <c r="F90" i="72"/>
  <c r="P384" i="72" l="1"/>
  <c r="O384" i="72"/>
  <c r="E19" i="72" l="1"/>
  <c r="O2032" i="94"/>
  <c r="L2032" i="94" s="1"/>
  <c r="L384" i="72"/>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G351" i="72"/>
  <c r="O343" i="72"/>
  <c r="K321" i="72"/>
  <c r="J180" i="72" l="1"/>
  <c r="J181" i="72"/>
  <c r="I181" i="72"/>
  <c r="I1829" i="94" s="1"/>
  <c r="I180" i="72"/>
  <c r="I1828" i="94" s="1"/>
  <c r="P171" i="72" l="1"/>
  <c r="O171" i="72"/>
  <c r="O1819" i="94" s="1"/>
  <c r="P61" i="72" l="1"/>
  <c r="O61" i="72"/>
  <c r="E11" i="72" l="1"/>
  <c r="O1709" i="94"/>
  <c r="L1934" i="94" s="1"/>
  <c r="M286" i="72"/>
  <c r="L286" i="72"/>
  <c r="B96" i="78"/>
  <c r="O390" i="73" l="1"/>
  <c r="N390" i="73"/>
  <c r="F384" i="73"/>
  <c r="J384" i="73" l="1"/>
  <c r="J182" i="72"/>
  <c r="I182" i="72"/>
  <c r="I1830" i="94" s="1"/>
  <c r="R34" i="81" l="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K232" i="72" l="1"/>
  <c r="L232" i="72"/>
  <c r="H90" i="66"/>
  <c r="H88" i="66"/>
  <c r="H87" i="66"/>
  <c r="N88"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T172" i="72"/>
  <c r="F160" i="72"/>
  <c r="J384" i="72"/>
  <c r="I359" i="72"/>
  <c r="L307" i="72"/>
  <c r="J307" i="72"/>
  <c r="L306" i="72"/>
  <c r="J211" i="72"/>
  <c r="L208" i="72"/>
  <c r="L207" i="72"/>
  <c r="G280" i="72"/>
  <c r="J72" i="72"/>
  <c r="A2" i="71"/>
  <c r="P450" i="72"/>
  <c r="M6" i="72"/>
  <c r="P440" i="72"/>
  <c r="O440" i="72"/>
  <c r="O2088" i="94" s="1"/>
  <c r="L2088" i="94" s="1"/>
  <c r="H178" i="72"/>
  <c r="K178" i="72"/>
  <c r="M168" i="72"/>
  <c r="T168" i="72" s="1"/>
  <c r="M167" i="72"/>
  <c r="T167" i="72" s="1"/>
  <c r="M166" i="72"/>
  <c r="T166" i="72" s="1"/>
  <c r="R420" i="72"/>
  <c r="P420" i="72"/>
  <c r="O420" i="72"/>
  <c r="S386" i="72"/>
  <c r="U300" i="72"/>
  <c r="U299" i="72"/>
  <c r="L222" i="72"/>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s="1"/>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8" i="94" s="1"/>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7" i="94" s="1"/>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6" i="94" s="1"/>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5" i="94" s="1"/>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804" i="94" s="1"/>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s="1"/>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s="1"/>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801" i="94" s="1"/>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800" i="94" s="1"/>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s="1"/>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8" i="94" s="1"/>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7" i="94" s="1"/>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6" i="94" s="1"/>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s="1"/>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94" i="94" s="1"/>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93" i="94" s="1"/>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s="1"/>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90" i="94" s="1"/>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9" i="94" s="1"/>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8" i="94" s="1"/>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Q787" i="94" s="1"/>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6" i="94" s="1"/>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Q785" i="94" s="1"/>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Q784" i="94" s="1"/>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Q783" i="94" s="1"/>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Q782" i="94" s="1"/>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Q781" i="94" s="1"/>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Q780" i="94" s="1"/>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Q779" i="94" s="1"/>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8" i="94" s="1"/>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7" i="94" s="1"/>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Q776" i="94" s="1"/>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Q773" i="94" s="1"/>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I21" i="75" l="1"/>
  <c r="I783" i="94" s="1"/>
  <c r="K783" i="94" s="1"/>
  <c r="L783" i="94" s="1"/>
  <c r="I18" i="75"/>
  <c r="I780" i="94" s="1"/>
  <c r="K780" i="94" s="1"/>
  <c r="L780" i="94" s="1"/>
  <c r="I22" i="75"/>
  <c r="I784" i="94" s="1"/>
  <c r="K784" i="94" s="1"/>
  <c r="L784" i="94" s="1"/>
  <c r="I19" i="75"/>
  <c r="I781" i="94" s="1"/>
  <c r="K781" i="94" s="1"/>
  <c r="L781" i="94" s="1"/>
  <c r="I17" i="75"/>
  <c r="I779" i="94" s="1"/>
  <c r="K779" i="94" s="1"/>
  <c r="L779" i="94" s="1"/>
  <c r="I20" i="75"/>
  <c r="I782" i="94" s="1"/>
  <c r="K782" i="94" s="1"/>
  <c r="L782" i="94" s="1"/>
  <c r="E20" i="72"/>
  <c r="O2068" i="94"/>
  <c r="A873" i="94"/>
  <c r="L1203" i="94"/>
  <c r="L1217" i="94"/>
  <c r="L1199" i="94"/>
  <c r="L1213" i="94"/>
  <c r="L1200" i="94"/>
  <c r="L1214" i="94"/>
  <c r="C55" i="84"/>
  <c r="B1032" i="94"/>
  <c r="L1201" i="94"/>
  <c r="L1215" i="94"/>
  <c r="L409" i="94"/>
  <c r="L410" i="94" s="1"/>
  <c r="P77" i="94"/>
  <c r="O2074" i="94"/>
  <c r="L1202" i="94"/>
  <c r="L1216" i="94"/>
  <c r="Q772" i="94"/>
  <c r="R10" i="75"/>
  <c r="R772" i="94" s="1"/>
  <c r="D13" i="74"/>
  <c r="D23" i="74" s="1"/>
  <c r="D1038" i="94" s="1"/>
  <c r="C23" i="74"/>
  <c r="C1038" i="94" s="1"/>
  <c r="N77" i="94"/>
  <c r="U166" i="72"/>
  <c r="P316" i="72"/>
  <c r="O320" i="72"/>
  <c r="O1968" i="94" s="1"/>
  <c r="O316" i="72"/>
  <c r="O1964" i="94" s="1"/>
  <c r="C119" i="74"/>
  <c r="D122" i="74"/>
  <c r="K61" i="84"/>
  <c r="E61" i="84"/>
  <c r="G61" i="84"/>
  <c r="I61" i="84"/>
  <c r="G55" i="84"/>
  <c r="E55" i="84"/>
  <c r="I55" i="84"/>
  <c r="K55" i="84"/>
  <c r="C58" i="84"/>
  <c r="B53" i="82"/>
  <c r="I28" i="74"/>
  <c r="I1043" i="94" s="1"/>
  <c r="L32" i="68"/>
  <c r="F115" i="78"/>
  <c r="I60" i="84"/>
  <c r="G60" i="84"/>
  <c r="E60" i="84"/>
  <c r="K60" i="84"/>
  <c r="G59" i="84"/>
  <c r="I59" i="84"/>
  <c r="K59" i="84"/>
  <c r="E59" i="84"/>
  <c r="F120" i="74"/>
  <c r="J60" i="74"/>
  <c r="K27" i="74"/>
  <c r="K1042" i="94" s="1"/>
  <c r="I89" i="74"/>
  <c r="G101" i="90"/>
  <c r="C43" i="90"/>
  <c r="H8" i="84"/>
  <c r="F14" i="85" s="1"/>
  <c r="A3" i="83" s="1"/>
  <c r="F92" i="74"/>
  <c r="D25" i="74"/>
  <c r="D1040" i="94" s="1"/>
  <c r="E57" i="74"/>
  <c r="G25" i="74"/>
  <c r="G1040" i="94" s="1"/>
  <c r="E1041" i="94"/>
  <c r="G27" i="74"/>
  <c r="G1042" i="94" s="1"/>
  <c r="H57" i="74"/>
  <c r="D59" i="74"/>
  <c r="D89" i="74"/>
  <c r="J92" i="74"/>
  <c r="D120" i="74"/>
  <c r="C120" i="74"/>
  <c r="H25" i="74"/>
  <c r="H1040" i="94" s="1"/>
  <c r="F1041" i="94"/>
  <c r="I57" i="74"/>
  <c r="B60" i="74"/>
  <c r="E89" i="74"/>
  <c r="D119" i="74"/>
  <c r="E122" i="74"/>
  <c r="J1041" i="94"/>
  <c r="C25" i="74"/>
  <c r="C1040" i="94" s="1"/>
  <c r="K25" i="74"/>
  <c r="K1040" i="94" s="1"/>
  <c r="I1041" i="94"/>
  <c r="E28" i="74"/>
  <c r="E1043" i="94" s="1"/>
  <c r="D57" i="74"/>
  <c r="F60" i="74"/>
  <c r="H89" i="74"/>
  <c r="B92" i="74"/>
  <c r="E119" i="74"/>
  <c r="P92" i="72"/>
  <c r="F36" i="78"/>
  <c r="N54" i="66"/>
  <c r="C30" i="74"/>
  <c r="F116" i="78"/>
  <c r="F113" i="78"/>
  <c r="F117" i="78"/>
  <c r="O279" i="72"/>
  <c r="O1927" i="94" s="1"/>
  <c r="Q55" i="73"/>
  <c r="P42" i="73"/>
  <c r="O40" i="66"/>
  <c r="P55" i="73"/>
  <c r="L440" i="72"/>
  <c r="A1" i="66"/>
  <c r="N40" i="66"/>
  <c r="M307" i="73"/>
  <c r="A111" i="75"/>
  <c r="O426" i="72"/>
  <c r="P54" i="66"/>
  <c r="A1" i="72"/>
  <c r="B44" i="78"/>
  <c r="E36" i="78"/>
  <c r="G132" i="78"/>
  <c r="S132" i="78"/>
  <c r="A1" i="74"/>
  <c r="N1" i="74" s="1"/>
  <c r="A3" i="79"/>
  <c r="A1" i="77"/>
  <c r="D38" i="78"/>
  <c r="P26" i="72"/>
  <c r="P86" i="72"/>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1041" i="94"/>
  <c r="G1041" i="94"/>
  <c r="K1041" i="94"/>
  <c r="C28" i="74"/>
  <c r="C1043" i="94" s="1"/>
  <c r="G28" i="74"/>
  <c r="G1043" i="94" s="1"/>
  <c r="K28" i="74"/>
  <c r="K1043" i="94" s="1"/>
  <c r="B57" i="74"/>
  <c r="F57" i="74"/>
  <c r="J57" i="74"/>
  <c r="D60" i="74"/>
  <c r="H60" i="74"/>
  <c r="B89" i="74"/>
  <c r="F89" i="74"/>
  <c r="J89" i="74"/>
  <c r="D92" i="74"/>
  <c r="H92" i="74"/>
  <c r="B119" i="74"/>
  <c r="F119" i="74"/>
  <c r="E120" i="74"/>
  <c r="C122" i="74"/>
  <c r="B28" i="74"/>
  <c r="B1043" i="94" s="1"/>
  <c r="F28" i="74"/>
  <c r="F1043" i="94" s="1"/>
  <c r="J28" i="74"/>
  <c r="J1043" i="94" s="1"/>
  <c r="G60" i="74"/>
  <c r="C92" i="74"/>
  <c r="B122" i="74"/>
  <c r="F122" i="74"/>
  <c r="B25" i="74"/>
  <c r="F25" i="74"/>
  <c r="F1040" i="94" s="1"/>
  <c r="J25" i="74"/>
  <c r="J1040" i="94" s="1"/>
  <c r="D1041" i="94"/>
  <c r="H1041" i="94"/>
  <c r="D28" i="74"/>
  <c r="D1043" i="94" s="1"/>
  <c r="H28" i="74"/>
  <c r="H1043" i="94" s="1"/>
  <c r="C57" i="74"/>
  <c r="G57" i="74"/>
  <c r="K57" i="74"/>
  <c r="E60" i="74"/>
  <c r="I60" i="74"/>
  <c r="C89" i="74"/>
  <c r="G89" i="74"/>
  <c r="K89" i="74"/>
  <c r="E92" i="74"/>
  <c r="I92" i="74"/>
  <c r="B120" i="74"/>
  <c r="A1" i="73"/>
  <c r="A1" i="75"/>
  <c r="U1" i="75" s="1"/>
  <c r="A1" i="78"/>
  <c r="W1" i="78" s="1"/>
  <c r="A1" i="68"/>
  <c r="S1" i="68" s="1"/>
  <c r="T173" i="72"/>
  <c r="A1" i="67"/>
  <c r="T175" i="72"/>
  <c r="I3" i="76"/>
  <c r="I40" i="66"/>
  <c r="A3" i="71"/>
  <c r="A1" i="76"/>
  <c r="O92" i="72"/>
  <c r="O1740" i="94" s="1"/>
  <c r="P320" i="72"/>
  <c r="O86" i="72"/>
  <c r="O1734" i="94" s="1"/>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L810" i="94" l="1"/>
  <c r="L811" i="94" s="1"/>
  <c r="D30" i="74"/>
  <c r="D1045" i="94" s="1"/>
  <c r="C1045" i="94"/>
  <c r="J2055" i="94"/>
  <c r="J2056" i="94" s="1"/>
  <c r="G1870" i="94"/>
  <c r="P1203" i="94"/>
  <c r="I436" i="94"/>
  <c r="B40" i="74"/>
  <c r="B1055" i="94" s="1"/>
  <c r="B1041" i="94"/>
  <c r="B39" i="74"/>
  <c r="C39" i="74" s="1"/>
  <c r="C1054" i="94" s="1"/>
  <c r="B1040" i="94"/>
  <c r="I63" i="94"/>
  <c r="N63" i="94"/>
  <c r="T1822" i="94"/>
  <c r="M768" i="94"/>
  <c r="O768" i="94"/>
  <c r="O63" i="94"/>
  <c r="P45" i="73"/>
  <c r="R117" i="74"/>
  <c r="S117" i="74" s="1"/>
  <c r="R87" i="74"/>
  <c r="S87" i="74" s="1"/>
  <c r="R55" i="74"/>
  <c r="S55" i="74" s="1"/>
  <c r="R23" i="74"/>
  <c r="S23" i="74" s="1"/>
  <c r="B42" i="74"/>
  <c r="B1057" i="94" s="1"/>
  <c r="D129" i="74"/>
  <c r="D1144" i="94" s="1"/>
  <c r="B41" i="74"/>
  <c r="B1056" i="94" s="1"/>
  <c r="K24" i="75"/>
  <c r="L24" i="75" s="1"/>
  <c r="P71" i="72"/>
  <c r="O71" i="72"/>
  <c r="P22" i="72"/>
  <c r="J68" i="74"/>
  <c r="J1083" i="94" s="1"/>
  <c r="I36" i="74"/>
  <c r="I1051" i="94" s="1"/>
  <c r="K99" i="75"/>
  <c r="K14" i="75"/>
  <c r="L14" i="75" s="1"/>
  <c r="K149" i="75"/>
  <c r="K20" i="75"/>
  <c r="L20" i="75" s="1"/>
  <c r="M149" i="75"/>
  <c r="K15" i="75"/>
  <c r="L15" i="75" s="1"/>
  <c r="K10" i="75"/>
  <c r="L10" i="75" s="1"/>
  <c r="K23" i="75"/>
  <c r="L23" i="75" s="1"/>
  <c r="K13" i="75"/>
  <c r="L13" i="75" s="1"/>
  <c r="K22" i="75"/>
  <c r="L22" i="75" s="1"/>
  <c r="K18" i="75"/>
  <c r="L18" i="75" s="1"/>
  <c r="N149" i="75"/>
  <c r="K11" i="75"/>
  <c r="L11" i="75" s="1"/>
  <c r="K19" i="75"/>
  <c r="L19" i="75" s="1"/>
  <c r="J149" i="75"/>
  <c r="O150" i="75"/>
  <c r="P90" i="94" s="1"/>
  <c r="K17" i="75"/>
  <c r="L17" i="75" s="1"/>
  <c r="L149" i="75"/>
  <c r="K21" i="75"/>
  <c r="L21" i="75"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AB48" i="75"/>
  <c r="J57" i="75" s="1"/>
  <c r="AF48" i="75"/>
  <c r="N57" i="75" s="1"/>
  <c r="AC48" i="75"/>
  <c r="K57" i="75" s="1"/>
  <c r="E19" i="87"/>
  <c r="E32" i="87"/>
  <c r="E18" i="87"/>
  <c r="E11" i="87"/>
  <c r="B4" i="82"/>
  <c r="K9" i="88"/>
  <c r="K23" i="88" s="1"/>
  <c r="K28" i="88" s="1"/>
  <c r="F39" i="88" s="1"/>
  <c r="C18" i="84"/>
  <c r="C53" i="82"/>
  <c r="F68" i="74"/>
  <c r="F1083" i="94" s="1"/>
  <c r="E25" i="87"/>
  <c r="E13" i="87"/>
  <c r="E29" i="87"/>
  <c r="E28" i="87"/>
  <c r="E129" i="74"/>
  <c r="E1144" i="94" s="1"/>
  <c r="F47" i="78"/>
  <c r="H18" i="84"/>
  <c r="E14" i="87"/>
  <c r="E30" i="87"/>
  <c r="E20" i="87"/>
  <c r="E21" i="87"/>
  <c r="D53" i="82"/>
  <c r="E36" i="74"/>
  <c r="E1051" i="94" s="1"/>
  <c r="E10" i="87"/>
  <c r="E16" i="87"/>
  <c r="B99" i="74"/>
  <c r="B1114" i="94" s="1"/>
  <c r="E31" i="87"/>
  <c r="E24" i="87"/>
  <c r="F99" i="74"/>
  <c r="F1114" i="94" s="1"/>
  <c r="E27" i="87"/>
  <c r="E12" i="87"/>
  <c r="E26" i="87"/>
  <c r="E17" i="87"/>
  <c r="B68" i="74"/>
  <c r="B1083" i="94" s="1"/>
  <c r="I58" i="84"/>
  <c r="I62" i="84" s="1"/>
  <c r="K58" i="84"/>
  <c r="K62" i="84" s="1"/>
  <c r="C62" i="84"/>
  <c r="G58" i="84"/>
  <c r="G62" i="84" s="1"/>
  <c r="E58" i="84"/>
  <c r="E62" i="84" s="1"/>
  <c r="E23" i="87"/>
  <c r="E8" i="87"/>
  <c r="C75" i="84"/>
  <c r="E22" i="87"/>
  <c r="E15" i="87"/>
  <c r="J151" i="78"/>
  <c r="J153" i="78" s="1"/>
  <c r="E3" i="86"/>
  <c r="E9" i="87"/>
  <c r="J99" i="74"/>
  <c r="J1114" i="94" s="1"/>
  <c r="F45" i="82"/>
  <c r="J45" i="82"/>
  <c r="H45" i="82"/>
  <c r="D45" i="82"/>
  <c r="B45" i="82"/>
  <c r="K45" i="82"/>
  <c r="G45" i="82"/>
  <c r="I45" i="82"/>
  <c r="C45" i="82"/>
  <c r="E45" i="82"/>
  <c r="J407" i="72"/>
  <c r="M408" i="72" s="1"/>
  <c r="M2056" i="94" s="1"/>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J222" i="72" s="1"/>
  <c r="J1870" i="94" s="1"/>
  <c r="M6" i="75"/>
  <c r="O6" i="75"/>
  <c r="P306" i="72"/>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R14" i="75" l="1"/>
  <c r="R776" i="94" s="1"/>
  <c r="R12" i="75"/>
  <c r="R774" i="94" s="1"/>
  <c r="R17" i="75"/>
  <c r="R779" i="94" s="1"/>
  <c r="R13" i="75"/>
  <c r="R775" i="94" s="1"/>
  <c r="R18" i="75"/>
  <c r="R780" i="94" s="1"/>
  <c r="I67" i="66"/>
  <c r="I90" i="94"/>
  <c r="P149" i="75"/>
  <c r="H89" i="94"/>
  <c r="P145" i="75"/>
  <c r="H85" i="94"/>
  <c r="P65" i="66"/>
  <c r="P88" i="94"/>
  <c r="C40" i="74"/>
  <c r="C1055" i="94" s="1"/>
  <c r="G1223" i="94"/>
  <c r="G1217" i="94"/>
  <c r="G1214" i="94"/>
  <c r="G1209" i="94"/>
  <c r="G1200" i="94"/>
  <c r="G1203" i="94"/>
  <c r="G1222" i="94"/>
  <c r="G1208" i="94"/>
  <c r="G1202" i="94"/>
  <c r="G1221" i="94"/>
  <c r="G1216" i="94"/>
  <c r="G1213" i="94"/>
  <c r="G1207" i="94"/>
  <c r="O1719" i="94"/>
  <c r="G1224" i="94"/>
  <c r="G1220" i="94"/>
  <c r="G1215" i="94"/>
  <c r="I1215" i="94" s="1"/>
  <c r="G1210" i="94"/>
  <c r="G1206" i="94"/>
  <c r="G1201" i="94"/>
  <c r="G1199" i="94"/>
  <c r="P427" i="94"/>
  <c r="P428" i="94"/>
  <c r="I437" i="94"/>
  <c r="C11" i="86"/>
  <c r="C10" i="86"/>
  <c r="B1054" i="94"/>
  <c r="T1825" i="94"/>
  <c r="P990" i="94"/>
  <c r="K63"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H1215" i="94"/>
  <c r="N1220" i="94"/>
  <c r="M1220" i="94"/>
  <c r="K1225" i="94"/>
  <c r="I1222" i="94"/>
  <c r="H1222" i="94"/>
  <c r="F1211" i="94"/>
  <c r="H1206" i="94"/>
  <c r="I1206" i="94"/>
  <c r="I1214" i="94"/>
  <c r="H1214" i="94"/>
  <c r="H1203" i="94"/>
  <c r="I1203" i="94"/>
  <c r="N1221" i="94"/>
  <c r="M1221" i="94"/>
  <c r="H1207" i="94"/>
  <c r="I1207" i="94"/>
  <c r="M1215" i="94"/>
  <c r="N1215" i="94"/>
  <c r="P153" i="75"/>
  <c r="H92" i="94"/>
  <c r="P92" i="94"/>
  <c r="P94" i="94"/>
  <c r="P155" i="75"/>
  <c r="H94" i="94"/>
  <c r="K56" i="73"/>
  <c r="N56" i="73" s="1"/>
  <c r="K50" i="73"/>
  <c r="N50" i="73" s="1"/>
  <c r="K43" i="73"/>
  <c r="N43" i="73" s="1"/>
  <c r="F64" i="73"/>
  <c r="H64" i="73" s="1"/>
  <c r="F52" i="73"/>
  <c r="I52" i="73" s="1"/>
  <c r="F55" i="73"/>
  <c r="I55" i="73" s="1"/>
  <c r="K65" i="73"/>
  <c r="N65" i="73" s="1"/>
  <c r="F41" i="73"/>
  <c r="I41" i="73" s="1"/>
  <c r="F51" i="73"/>
  <c r="I51" i="73" s="1"/>
  <c r="K48" i="73"/>
  <c r="N48" i="73" s="1"/>
  <c r="F58" i="73"/>
  <c r="F59" i="73"/>
  <c r="I59" i="73" s="1"/>
  <c r="K64" i="73"/>
  <c r="N64" i="73" s="1"/>
  <c r="K42" i="73"/>
  <c r="N42" i="73" s="1"/>
  <c r="K51" i="73"/>
  <c r="N51" i="73" s="1"/>
  <c r="F43" i="73"/>
  <c r="I43" i="73" s="1"/>
  <c r="F65" i="73"/>
  <c r="I65" i="73" s="1"/>
  <c r="K58" i="73"/>
  <c r="N58" i="73" s="1"/>
  <c r="F62" i="73"/>
  <c r="I62" i="73" s="1"/>
  <c r="F50" i="73"/>
  <c r="H50" i="73" s="1"/>
  <c r="F66" i="73"/>
  <c r="I66" i="73" s="1"/>
  <c r="F44" i="73"/>
  <c r="H44" i="73" s="1"/>
  <c r="K52" i="73"/>
  <c r="N52" i="73" s="1"/>
  <c r="F57" i="73"/>
  <c r="F56" i="73"/>
  <c r="I56" i="73" s="1"/>
  <c r="K66" i="73"/>
  <c r="N66" i="73" s="1"/>
  <c r="F48" i="73"/>
  <c r="I48" i="73" s="1"/>
  <c r="K62" i="73"/>
  <c r="N62" i="73" s="1"/>
  <c r="K41" i="73"/>
  <c r="N41" i="73" s="1"/>
  <c r="F45" i="73"/>
  <c r="I45" i="73" s="1"/>
  <c r="K63" i="73"/>
  <c r="N63" i="73" s="1"/>
  <c r="F49" i="73"/>
  <c r="I49" i="73" s="1"/>
  <c r="K57" i="73"/>
  <c r="N57" i="73" s="1"/>
  <c r="K44" i="73"/>
  <c r="N44" i="73" s="1"/>
  <c r="F42" i="73"/>
  <c r="I42" i="73" s="1"/>
  <c r="K49" i="73"/>
  <c r="N49" i="73" s="1"/>
  <c r="K55" i="73"/>
  <c r="N55" i="73" s="1"/>
  <c r="K45" i="73"/>
  <c r="N45" i="73" s="1"/>
  <c r="F63" i="73"/>
  <c r="H63" i="73" s="1"/>
  <c r="K59" i="73"/>
  <c r="N59" i="73" s="1"/>
  <c r="P67" i="66"/>
  <c r="P150" i="75"/>
  <c r="R22" i="75"/>
  <c r="R21" i="75"/>
  <c r="R20" i="75"/>
  <c r="R19" i="75"/>
  <c r="Q58" i="73"/>
  <c r="C42" i="74"/>
  <c r="C1057" i="94" s="1"/>
  <c r="C12" i="86"/>
  <c r="C41" i="74"/>
  <c r="C1056" i="94" s="1"/>
  <c r="D40" i="74"/>
  <c r="D1055" i="94" s="1"/>
  <c r="D39" i="74"/>
  <c r="D1054" i="94" s="1"/>
  <c r="D10" i="86"/>
  <c r="N152" i="75"/>
  <c r="N154" i="75" s="1"/>
  <c r="H66" i="66"/>
  <c r="K152" i="75"/>
  <c r="H67" i="66"/>
  <c r="L152" i="75"/>
  <c r="L154" i="75" s="1"/>
  <c r="I65" i="66"/>
  <c r="M152" i="75"/>
  <c r="M154" i="75" s="1"/>
  <c r="I64" i="66"/>
  <c r="H62" i="66"/>
  <c r="J152" i="75"/>
  <c r="J154" i="75" s="1"/>
  <c r="O147" i="75"/>
  <c r="P87" i="94" s="1"/>
  <c r="O149" i="75"/>
  <c r="L48" i="75"/>
  <c r="L49" i="75" s="1"/>
  <c r="O62" i="75"/>
  <c r="O58" i="75"/>
  <c r="H87" i="94" s="1"/>
  <c r="AL48" i="75"/>
  <c r="J59" i="75" s="1"/>
  <c r="AN48" i="75"/>
  <c r="L59" i="75" s="1"/>
  <c r="AO48" i="75"/>
  <c r="M59" i="75" s="1"/>
  <c r="AP48" i="75"/>
  <c r="N59" i="75" s="1"/>
  <c r="AM48" i="75"/>
  <c r="K59" i="75" s="1"/>
  <c r="AE48" i="75"/>
  <c r="M57" i="75" s="1"/>
  <c r="G35" i="86"/>
  <c r="F15" i="86"/>
  <c r="E35" i="86"/>
  <c r="G15" i="86"/>
  <c r="F35" i="86"/>
  <c r="F55" i="86"/>
  <c r="C55" i="86"/>
  <c r="H55" i="86"/>
  <c r="O16" i="86"/>
  <c r="I15" i="86"/>
  <c r="G55" i="86"/>
  <c r="D55" i="86"/>
  <c r="C15" i="86"/>
  <c r="C35" i="86"/>
  <c r="E55" i="86"/>
  <c r="I35" i="86"/>
  <c r="O17" i="86"/>
  <c r="H35" i="86"/>
  <c r="D15" i="86"/>
  <c r="E15" i="86"/>
  <c r="H15" i="86"/>
  <c r="D35" i="86"/>
  <c r="E75" i="84"/>
  <c r="E77" i="84" s="1"/>
  <c r="C77" i="84"/>
  <c r="G75" i="84"/>
  <c r="G77" i="84" s="1"/>
  <c r="K75" i="84"/>
  <c r="K77" i="84" s="1"/>
  <c r="I75" i="84"/>
  <c r="I77" i="84" s="1"/>
  <c r="J18" i="84"/>
  <c r="C40" i="84"/>
  <c r="E53" i="82"/>
  <c r="D18" i="84"/>
  <c r="K40" i="84"/>
  <c r="C38" i="84"/>
  <c r="F56" i="89"/>
  <c r="D37" i="90" s="1"/>
  <c r="H15" i="84"/>
  <c r="F18" i="85" s="1"/>
  <c r="J408" i="72"/>
  <c r="J409" i="72" s="1"/>
  <c r="J2057" i="94" s="1"/>
  <c r="F30" i="74"/>
  <c r="F1045" i="94" s="1"/>
  <c r="O140" i="75"/>
  <c r="P71" i="66"/>
  <c r="P69" i="66"/>
  <c r="H71" i="66"/>
  <c r="T177" i="72"/>
  <c r="J381" i="73"/>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P151" i="75" l="1"/>
  <c r="H91" i="94"/>
  <c r="P66" i="66"/>
  <c r="P89" i="94"/>
  <c r="I57" i="73"/>
  <c r="I58" i="73"/>
  <c r="D11" i="86"/>
  <c r="P429" i="94"/>
  <c r="M58" i="73"/>
  <c r="I1225" i="94"/>
  <c r="N1225" i="94"/>
  <c r="M42" i="73"/>
  <c r="I1218" i="94"/>
  <c r="I44" i="73"/>
  <c r="H55" i="73"/>
  <c r="M50" i="73"/>
  <c r="I1204" i="94"/>
  <c r="F1227" i="94"/>
  <c r="N1218" i="94"/>
  <c r="I1211" i="94"/>
  <c r="N1204" i="94"/>
  <c r="H77" i="94"/>
  <c r="K1627" i="94"/>
  <c r="K1227" i="94"/>
  <c r="K467" i="73"/>
  <c r="K1625" i="94"/>
  <c r="N1211" i="94"/>
  <c r="H43" i="73"/>
  <c r="H45" i="73"/>
  <c r="M59" i="73"/>
  <c r="M66" i="73"/>
  <c r="R783" i="94"/>
  <c r="R784" i="94"/>
  <c r="M64" i="73"/>
  <c r="R781" i="94"/>
  <c r="H51" i="73"/>
  <c r="R782" i="94"/>
  <c r="M51" i="73"/>
  <c r="O432" i="72"/>
  <c r="P78" i="94"/>
  <c r="H78" i="94"/>
  <c r="H79" i="94"/>
  <c r="M43" i="73"/>
  <c r="H42" i="73"/>
  <c r="H66" i="73"/>
  <c r="M56" i="73"/>
  <c r="H52" i="73"/>
  <c r="H59" i="73"/>
  <c r="M52" i="73"/>
  <c r="M44" i="73"/>
  <c r="H56" i="73"/>
  <c r="H41" i="73"/>
  <c r="I50" i="73"/>
  <c r="H57" i="73"/>
  <c r="H62" i="73"/>
  <c r="I64" i="73"/>
  <c r="H58" i="73"/>
  <c r="H48" i="73"/>
  <c r="M49" i="73"/>
  <c r="M45" i="73"/>
  <c r="M65" i="73"/>
  <c r="H49" i="73"/>
  <c r="I63" i="73"/>
  <c r="M57" i="73"/>
  <c r="H65" i="73"/>
  <c r="M63" i="73"/>
  <c r="E100" i="78"/>
  <c r="P64" i="66"/>
  <c r="P61" i="66" s="1"/>
  <c r="P70" i="66" s="1"/>
  <c r="P72" i="66" s="1"/>
  <c r="P75" i="66" s="1"/>
  <c r="P147" i="75"/>
  <c r="D42" i="74"/>
  <c r="D1057" i="94" s="1"/>
  <c r="D41" i="74"/>
  <c r="D1056" i="94" s="1"/>
  <c r="D12" i="86"/>
  <c r="E40" i="74"/>
  <c r="E1055" i="94" s="1"/>
  <c r="E11" i="86"/>
  <c r="E39" i="74"/>
  <c r="E1054" i="94" s="1"/>
  <c r="E10" i="86"/>
  <c r="K469" i="73"/>
  <c r="O152" i="75"/>
  <c r="L63" i="75"/>
  <c r="N63" i="75"/>
  <c r="K154" i="75"/>
  <c r="K156" i="75" s="1"/>
  <c r="H64" i="66"/>
  <c r="K63" i="75"/>
  <c r="I61" i="66"/>
  <c r="H68" i="66"/>
  <c r="B14" i="74"/>
  <c r="H173" i="75"/>
  <c r="H935" i="94" s="1"/>
  <c r="O935" i="94" s="1"/>
  <c r="O59" i="75"/>
  <c r="J63" i="75"/>
  <c r="M63" i="75"/>
  <c r="O57" i="75"/>
  <c r="C81" i="84"/>
  <c r="C80" i="84"/>
  <c r="O19" i="86"/>
  <c r="O23" i="86" s="1"/>
  <c r="O25" i="86" s="1"/>
  <c r="O31" i="86" s="1"/>
  <c r="F53" i="82"/>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P146" i="75" l="1"/>
  <c r="H86" i="94"/>
  <c r="P148" i="75"/>
  <c r="H88" i="94"/>
  <c r="B1029" i="94"/>
  <c r="K73" i="75"/>
  <c r="K835" i="94" s="1"/>
  <c r="K74" i="75"/>
  <c r="K836" i="94" s="1"/>
  <c r="K75" i="75"/>
  <c r="K837" i="94" s="1"/>
  <c r="K76" i="75"/>
  <c r="K838" i="94" s="1"/>
  <c r="K71" i="75"/>
  <c r="K833" i="94" s="1"/>
  <c r="K77" i="75"/>
  <c r="K839" i="94" s="1"/>
  <c r="K72" i="75"/>
  <c r="K834" i="94" s="1"/>
  <c r="M75" i="75"/>
  <c r="M837" i="94" s="1"/>
  <c r="M76" i="75"/>
  <c r="M838" i="94" s="1"/>
  <c r="M71" i="75"/>
  <c r="M833" i="94" s="1"/>
  <c r="M77" i="75"/>
  <c r="M839" i="94" s="1"/>
  <c r="M72" i="75"/>
  <c r="M834" i="94" s="1"/>
  <c r="M73" i="75"/>
  <c r="M835" i="94" s="1"/>
  <c r="M74" i="75"/>
  <c r="M836" i="94" s="1"/>
  <c r="J73" i="75"/>
  <c r="J835" i="94" s="1"/>
  <c r="J74" i="75"/>
  <c r="J836" i="94" s="1"/>
  <c r="J75" i="75"/>
  <c r="J837" i="94" s="1"/>
  <c r="J76" i="75"/>
  <c r="J838" i="94" s="1"/>
  <c r="J71" i="75"/>
  <c r="J833" i="94" s="1"/>
  <c r="J77" i="75"/>
  <c r="J839" i="94" s="1"/>
  <c r="J72" i="75"/>
  <c r="J834" i="94" s="1"/>
  <c r="N76" i="75"/>
  <c r="N838" i="94" s="1"/>
  <c r="N71" i="75"/>
  <c r="N833" i="94" s="1"/>
  <c r="N77" i="75"/>
  <c r="N839" i="94" s="1"/>
  <c r="N72" i="75"/>
  <c r="N834" i="94" s="1"/>
  <c r="N73" i="75"/>
  <c r="N835" i="94" s="1"/>
  <c r="N74" i="75"/>
  <c r="N836" i="94" s="1"/>
  <c r="N75" i="75"/>
  <c r="N837" i="94" s="1"/>
  <c r="L74" i="75"/>
  <c r="L836" i="94" s="1"/>
  <c r="L75" i="75"/>
  <c r="L837" i="94" s="1"/>
  <c r="L76" i="75"/>
  <c r="L838" i="94" s="1"/>
  <c r="L71" i="75"/>
  <c r="L833" i="94" s="1"/>
  <c r="L77" i="75"/>
  <c r="L839" i="94" s="1"/>
  <c r="L72" i="75"/>
  <c r="L834" i="94" s="1"/>
  <c r="L73" i="75"/>
  <c r="L835" i="94" s="1"/>
  <c r="M1227" i="94"/>
  <c r="H1227" i="94"/>
  <c r="I84" i="94"/>
  <c r="M993" i="94"/>
  <c r="P993" i="94"/>
  <c r="G579" i="94"/>
  <c r="P488" i="94"/>
  <c r="G14" i="74"/>
  <c r="E42" i="74"/>
  <c r="E1057" i="94" s="1"/>
  <c r="O154" i="75"/>
  <c r="E41" i="74"/>
  <c r="E1056" i="94" s="1"/>
  <c r="E12" i="86"/>
  <c r="F40" i="74"/>
  <c r="F1055" i="94" s="1"/>
  <c r="F11" i="86"/>
  <c r="F39" i="74"/>
  <c r="F1054" i="94" s="1"/>
  <c r="F10" i="86"/>
  <c r="L65" i="75"/>
  <c r="L67" i="75" s="1"/>
  <c r="H9" i="88" s="1"/>
  <c r="I9" i="88" s="1"/>
  <c r="D8" i="88"/>
  <c r="E8" i="88" s="1"/>
  <c r="N65" i="75"/>
  <c r="N67" i="75" s="1"/>
  <c r="H63" i="66"/>
  <c r="K65" i="75"/>
  <c r="K67" i="75" s="1"/>
  <c r="D11" i="88"/>
  <c r="E11" i="88" s="1"/>
  <c r="D9" i="88"/>
  <c r="E9" i="88" s="1"/>
  <c r="H65" i="66"/>
  <c r="O173" i="75"/>
  <c r="P84" i="94" s="1"/>
  <c r="P93" i="94" s="1"/>
  <c r="P95" i="94" s="1"/>
  <c r="P98" i="94" s="1"/>
  <c r="D14" i="74"/>
  <c r="E14" i="74"/>
  <c r="C14" i="74"/>
  <c r="C52" i="84"/>
  <c r="F14" i="74"/>
  <c r="B15" i="74"/>
  <c r="B1030" i="94" s="1"/>
  <c r="D10" i="88"/>
  <c r="E10" i="88" s="1"/>
  <c r="M65" i="75"/>
  <c r="M67" i="75" s="1"/>
  <c r="H10" i="88" s="1"/>
  <c r="I10" i="88" s="1"/>
  <c r="D7" i="88"/>
  <c r="O63" i="75"/>
  <c r="J65" i="75"/>
  <c r="G53" i="82"/>
  <c r="H7" i="84"/>
  <c r="P43" i="78"/>
  <c r="K13" i="84"/>
  <c r="E172" i="90"/>
  <c r="E173" i="90" s="1"/>
  <c r="C66" i="84"/>
  <c r="H30" i="74"/>
  <c r="H1045" i="94" s="1"/>
  <c r="N46" i="73"/>
  <c r="I67" i="73"/>
  <c r="I53" i="73"/>
  <c r="I46" i="73"/>
  <c r="N60" i="73"/>
  <c r="G134" i="78"/>
  <c r="N53" i="73"/>
  <c r="O156" i="75"/>
  <c r="K69" i="73"/>
  <c r="I60" i="73"/>
  <c r="N67" i="73"/>
  <c r="B22" i="74"/>
  <c r="B1037" i="94" s="1"/>
  <c r="M231" i="75"/>
  <c r="F69" i="73"/>
  <c r="P231" i="75"/>
  <c r="H14" i="74"/>
  <c r="I13" i="74"/>
  <c r="I23" i="74" s="1"/>
  <c r="I1038" i="94" s="1"/>
  <c r="E1029" i="94" l="1"/>
  <c r="C1029" i="94"/>
  <c r="D1029" i="94"/>
  <c r="G1029" i="94"/>
  <c r="H84" i="94"/>
  <c r="H93" i="94" s="1"/>
  <c r="H95" i="94" s="1"/>
  <c r="F1029" i="94"/>
  <c r="H1029" i="94"/>
  <c r="O76" i="75"/>
  <c r="O838" i="94" s="1"/>
  <c r="O71" i="75"/>
  <c r="O833" i="94" s="1"/>
  <c r="O77" i="75"/>
  <c r="O839" i="94" s="1"/>
  <c r="O72" i="75"/>
  <c r="O834" i="94" s="1"/>
  <c r="O73" i="75"/>
  <c r="O835" i="94" s="1"/>
  <c r="O74" i="75"/>
  <c r="O836" i="94" s="1"/>
  <c r="O75" i="75"/>
  <c r="O837" i="94" s="1"/>
  <c r="N465" i="73"/>
  <c r="N1624" i="94"/>
  <c r="N1623" i="94"/>
  <c r="K159" i="75"/>
  <c r="K921" i="94" s="1"/>
  <c r="J489" i="94"/>
  <c r="F489" i="94"/>
  <c r="H8" i="88"/>
  <c r="I8" i="88" s="1"/>
  <c r="H11" i="88"/>
  <c r="I11" i="88" s="1"/>
  <c r="N159" i="75"/>
  <c r="N921" i="94" s="1"/>
  <c r="L159" i="75"/>
  <c r="L921" i="94" s="1"/>
  <c r="M159" i="75"/>
  <c r="M921" i="94" s="1"/>
  <c r="F44" i="78"/>
  <c r="F42" i="74"/>
  <c r="F1057" i="94" s="1"/>
  <c r="F41" i="74"/>
  <c r="F1056" i="94" s="1"/>
  <c r="F12" i="86"/>
  <c r="G40" i="74"/>
  <c r="G1055" i="94" s="1"/>
  <c r="G11" i="86"/>
  <c r="G39" i="74"/>
  <c r="G1054" i="94" s="1"/>
  <c r="G10" i="86"/>
  <c r="N466" i="73"/>
  <c r="H61" i="66"/>
  <c r="H70" i="66" s="1"/>
  <c r="H72" i="66" s="1"/>
  <c r="C15" i="74"/>
  <c r="D15" i="74"/>
  <c r="F15" i="74"/>
  <c r="E15" i="74"/>
  <c r="B16" i="74"/>
  <c r="B21" i="74" s="1"/>
  <c r="C53" i="84"/>
  <c r="G15" i="74"/>
  <c r="I52" i="84"/>
  <c r="E52" i="84"/>
  <c r="K52" i="84"/>
  <c r="G52" i="84"/>
  <c r="H15" i="74"/>
  <c r="J67" i="75"/>
  <c r="J159" i="75" s="1"/>
  <c r="J921" i="94" s="1"/>
  <c r="O65" i="75"/>
  <c r="M599" i="94" s="1"/>
  <c r="M600" i="94" s="1"/>
  <c r="M602" i="94" s="1"/>
  <c r="E13" i="84"/>
  <c r="E7" i="88"/>
  <c r="E13" i="88" s="1"/>
  <c r="D12" i="88"/>
  <c r="H53" i="82"/>
  <c r="H20" i="84"/>
  <c r="C20" i="84"/>
  <c r="E47" i="92"/>
  <c r="E26" i="89"/>
  <c r="C22" i="74"/>
  <c r="C1037" i="94" s="1"/>
  <c r="C13" i="86"/>
  <c r="E66" i="84"/>
  <c r="K66" i="84"/>
  <c r="I66" i="84"/>
  <c r="G66" i="84"/>
  <c r="I30" i="74"/>
  <c r="I1045" i="94" s="1"/>
  <c r="J100" i="78"/>
  <c r="H69" i="73"/>
  <c r="M69" i="73"/>
  <c r="J44" i="78"/>
  <c r="F22" i="74"/>
  <c r="E22" i="74"/>
  <c r="H22" i="74"/>
  <c r="G22" i="74"/>
  <c r="G1037" i="94" s="1"/>
  <c r="D22" i="74"/>
  <c r="D1037" i="94" s="1"/>
  <c r="I14" i="74"/>
  <c r="J13" i="74"/>
  <c r="J23" i="74" s="1"/>
  <c r="J1038" i="94" s="1"/>
  <c r="I15" i="74"/>
  <c r="I1030" i="94" s="1"/>
  <c r="I22" i="74"/>
  <c r="P221" i="75" l="1"/>
  <c r="B1036" i="94"/>
  <c r="I1029" i="94"/>
  <c r="P837" i="94"/>
  <c r="I75" i="75"/>
  <c r="I837" i="94" s="1"/>
  <c r="P836" i="94"/>
  <c r="I74" i="75"/>
  <c r="I836" i="94" s="1"/>
  <c r="I73" i="75"/>
  <c r="I835" i="94" s="1"/>
  <c r="P835" i="94"/>
  <c r="I72" i="75"/>
  <c r="I834" i="94" s="1"/>
  <c r="P834" i="94"/>
  <c r="I77" i="75"/>
  <c r="I839" i="94" s="1"/>
  <c r="P839" i="94"/>
  <c r="P833" i="94"/>
  <c r="I71" i="75"/>
  <c r="I833" i="94" s="1"/>
  <c r="I76" i="75"/>
  <c r="I838" i="94" s="1"/>
  <c r="P838" i="94"/>
  <c r="D16" i="74"/>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1" i="94" s="1"/>
  <c r="H1030" i="94"/>
  <c r="E16" i="74"/>
  <c r="E1031" i="94" s="1"/>
  <c r="E1030" i="94"/>
  <c r="P185" i="94"/>
  <c r="P184" i="94"/>
  <c r="P186" i="94"/>
  <c r="D13" i="86"/>
  <c r="B19" i="74"/>
  <c r="G42" i="74"/>
  <c r="G1057" i="94" s="1"/>
  <c r="P76" i="75"/>
  <c r="P73" i="75"/>
  <c r="P71" i="75"/>
  <c r="G41" i="74"/>
  <c r="G1056" i="94" s="1"/>
  <c r="G12" i="86"/>
  <c r="H40" i="74"/>
  <c r="H1055" i="94" s="1"/>
  <c r="H11" i="86"/>
  <c r="H39" i="74"/>
  <c r="H1054" i="94" s="1"/>
  <c r="H10" i="86"/>
  <c r="K56" i="72"/>
  <c r="O56" i="72" s="1"/>
  <c r="O1704" i="94" s="1"/>
  <c r="L56" i="72"/>
  <c r="P56" i="72" s="1"/>
  <c r="J56" i="72"/>
  <c r="K7" i="74"/>
  <c r="J154" i="78"/>
  <c r="J155" i="78" s="1"/>
  <c r="G15" i="82" s="1"/>
  <c r="G19" i="82" s="1"/>
  <c r="P161" i="66"/>
  <c r="P163" i="66"/>
  <c r="P77" i="75"/>
  <c r="P75" i="75"/>
  <c r="P72" i="75"/>
  <c r="P74" i="75"/>
  <c r="I53" i="84"/>
  <c r="I54" i="84" s="1"/>
  <c r="K53" i="84"/>
  <c r="K54" i="84" s="1"/>
  <c r="E53" i="84"/>
  <c r="G53" i="84"/>
  <c r="G54" i="84" s="1"/>
  <c r="G56" i="84" s="1"/>
  <c r="G64" i="84" s="1"/>
  <c r="J4" i="91"/>
  <c r="C54" i="84"/>
  <c r="C56" i="84" s="1"/>
  <c r="C64" i="84" s="1"/>
  <c r="H16" i="85"/>
  <c r="K18" i="88"/>
  <c r="F54" i="89" s="1"/>
  <c r="D33" i="90" s="1"/>
  <c r="D55" i="92" s="1"/>
  <c r="P162" i="66"/>
  <c r="F43" i="78"/>
  <c r="M154" i="78"/>
  <c r="M155" i="78" s="1"/>
  <c r="M157" i="78" s="1"/>
  <c r="P154" i="78"/>
  <c r="P155" i="78" s="1"/>
  <c r="P157" i="78" s="1"/>
  <c r="H7" i="88"/>
  <c r="O67" i="75"/>
  <c r="I48" i="75" s="1"/>
  <c r="I53" i="82"/>
  <c r="F13" i="86"/>
  <c r="E13" i="86"/>
  <c r="H13" i="86"/>
  <c r="G13" i="86"/>
  <c r="P63" i="73"/>
  <c r="J30" i="74"/>
  <c r="J1045" i="94" s="1"/>
  <c r="K13" i="74"/>
  <c r="K23" i="74" s="1"/>
  <c r="K1038" i="94" s="1"/>
  <c r="J14" i="74"/>
  <c r="J15" i="74"/>
  <c r="J1030" i="94" s="1"/>
  <c r="J22" i="74"/>
  <c r="I16" i="74"/>
  <c r="I21" i="74" s="1"/>
  <c r="I1036" i="94" s="1"/>
  <c r="C70" i="84" l="1"/>
  <c r="C76" i="84" s="1"/>
  <c r="C73" i="84" s="1"/>
  <c r="E21" i="74"/>
  <c r="G21" i="74"/>
  <c r="D1031" i="94"/>
  <c r="D21" i="74"/>
  <c r="J607" i="94"/>
  <c r="P1221" i="94"/>
  <c r="C21" i="74"/>
  <c r="C68" i="84"/>
  <c r="P983" i="94"/>
  <c r="P226" i="75"/>
  <c r="H21" i="74"/>
  <c r="J1029" i="94"/>
  <c r="F21" i="74"/>
  <c r="C19" i="74"/>
  <c r="C1034" i="94" s="1"/>
  <c r="G19" i="74"/>
  <c r="G1034" i="94" s="1"/>
  <c r="F19" i="74"/>
  <c r="F1034" i="94" s="1"/>
  <c r="D19" i="74"/>
  <c r="E19" i="74"/>
  <c r="E1034" i="94" s="1"/>
  <c r="I49" i="75"/>
  <c r="H19" i="74"/>
  <c r="H1034" i="94" s="1"/>
  <c r="O2081" i="94"/>
  <c r="O2082" i="94" s="1"/>
  <c r="O2075" i="94"/>
  <c r="O2076" i="94" s="1"/>
  <c r="N1625" i="94"/>
  <c r="O1385" i="94"/>
  <c r="M1467" i="94"/>
  <c r="L1467" i="94" s="1"/>
  <c r="M1464" i="94"/>
  <c r="L1464" i="94" s="1"/>
  <c r="E492" i="94"/>
  <c r="D579" i="94"/>
  <c r="F569" i="94"/>
  <c r="E523" i="94"/>
  <c r="J488" i="94"/>
  <c r="N1628" i="94"/>
  <c r="O1628" i="94" s="1"/>
  <c r="P2099" i="94"/>
  <c r="P1654" i="94"/>
  <c r="B35" i="74"/>
  <c r="B1050" i="94" s="1"/>
  <c r="B1034" i="94"/>
  <c r="D33" i="86"/>
  <c r="J1037" i="94"/>
  <c r="I19" i="74"/>
  <c r="I1031" i="94"/>
  <c r="O155" i="72"/>
  <c r="O1803" i="94" s="1"/>
  <c r="N110" i="94"/>
  <c r="N113" i="94"/>
  <c r="O227" i="73"/>
  <c r="P228" i="75"/>
  <c r="M226" i="75" s="1"/>
  <c r="N470" i="73"/>
  <c r="O470" i="73" s="1"/>
  <c r="I35" i="74"/>
  <c r="I1050" i="94" s="1"/>
  <c r="C35" i="74"/>
  <c r="C1050" i="94" s="1"/>
  <c r="H35" i="74"/>
  <c r="H1050" i="94" s="1"/>
  <c r="E35" i="74"/>
  <c r="E1050" i="94" s="1"/>
  <c r="D35" i="74"/>
  <c r="D1050" i="94" s="1"/>
  <c r="F35" i="74"/>
  <c r="F1050" i="94" s="1"/>
  <c r="G35" i="74"/>
  <c r="G1050" i="94" s="1"/>
  <c r="H42" i="74"/>
  <c r="H1057" i="94" s="1"/>
  <c r="H41" i="74"/>
  <c r="H1056" i="94" s="1"/>
  <c r="H12" i="86"/>
  <c r="I40" i="74"/>
  <c r="I1055" i="94" s="1"/>
  <c r="I11" i="86"/>
  <c r="I39" i="74"/>
  <c r="I1054" i="94" s="1"/>
  <c r="I10" i="86"/>
  <c r="J157" i="78"/>
  <c r="J158" i="78" s="1"/>
  <c r="H293" i="72"/>
  <c r="H1941" i="94" s="1"/>
  <c r="N467" i="73"/>
  <c r="C72" i="84"/>
  <c r="K56" i="84"/>
  <c r="K64" i="84" s="1"/>
  <c r="E54" i="84"/>
  <c r="E56" i="84" s="1"/>
  <c r="E64" i="84" s="1"/>
  <c r="I56" i="84"/>
  <c r="I64" i="84" s="1"/>
  <c r="N90" i="66"/>
  <c r="F124" i="78"/>
  <c r="E78" i="78"/>
  <c r="O427" i="72"/>
  <c r="O428" i="72" s="1"/>
  <c r="J233" i="75"/>
  <c r="M309" i="73"/>
  <c r="N87" i="66"/>
  <c r="E47" i="78"/>
  <c r="J231" i="75"/>
  <c r="N223" i="75"/>
  <c r="J43" i="78"/>
  <c r="N222" i="75"/>
  <c r="M306" i="73"/>
  <c r="O227" i="75"/>
  <c r="D134" i="78"/>
  <c r="J232" i="75"/>
  <c r="C13" i="84"/>
  <c r="A9" i="83" s="1"/>
  <c r="O433" i="72"/>
  <c r="O434" i="72" s="1"/>
  <c r="I7" i="88"/>
  <c r="I13" i="88" s="1"/>
  <c r="H12" i="88"/>
  <c r="D34" i="90" s="1"/>
  <c r="D35" i="90" s="1"/>
  <c r="I64" i="92" s="1"/>
  <c r="J53" i="82"/>
  <c r="K13" i="88"/>
  <c r="J162" i="78"/>
  <c r="J163" i="78" s="1"/>
  <c r="K30" i="74"/>
  <c r="K1045" i="94" s="1"/>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J16" i="74"/>
  <c r="J21" i="74" s="1"/>
  <c r="J1036" i="94" s="1"/>
  <c r="K14" i="74"/>
  <c r="B45" i="74"/>
  <c r="B55" i="74" s="1"/>
  <c r="B65" i="82" s="1"/>
  <c r="K15" i="74"/>
  <c r="K1030" i="94" s="1"/>
  <c r="K22" i="74"/>
  <c r="F1036" i="94" l="1"/>
  <c r="K1029" i="94"/>
  <c r="D1036" i="94"/>
  <c r="H1036" i="94"/>
  <c r="F566" i="94"/>
  <c r="F122" i="78"/>
  <c r="F567" i="94"/>
  <c r="B20" i="74"/>
  <c r="F121" i="78"/>
  <c r="P241" i="75"/>
  <c r="G1036" i="94"/>
  <c r="K70" i="84"/>
  <c r="K76" i="84" s="1"/>
  <c r="K73" i="84" s="1"/>
  <c r="P988" i="94"/>
  <c r="N984" i="94"/>
  <c r="N985" i="94"/>
  <c r="E1036" i="94"/>
  <c r="K68" i="84"/>
  <c r="G68" i="84"/>
  <c r="G70" i="84" s="1"/>
  <c r="I68" i="84"/>
  <c r="I70" i="84" s="1"/>
  <c r="E68" i="84"/>
  <c r="E70" i="84" s="1"/>
  <c r="C1036" i="94"/>
  <c r="D1034" i="94"/>
  <c r="I1034" i="94"/>
  <c r="J19" i="74"/>
  <c r="J1031" i="94"/>
  <c r="K1628" i="94"/>
  <c r="N1627" i="94"/>
  <c r="E33" i="86"/>
  <c r="K1037" i="94"/>
  <c r="J603" i="94"/>
  <c r="J608" i="94"/>
  <c r="P293" i="72"/>
  <c r="O293" i="72"/>
  <c r="O1941" i="94" s="1"/>
  <c r="K470" i="73"/>
  <c r="N469" i="73"/>
  <c r="J35" i="74"/>
  <c r="J1050" i="94" s="1"/>
  <c r="I42" i="74"/>
  <c r="I1057" i="94" s="1"/>
  <c r="I41" i="74"/>
  <c r="I1056" i="94" s="1"/>
  <c r="I12" i="86"/>
  <c r="J40" i="74"/>
  <c r="J1055" i="94" s="1"/>
  <c r="C31" i="86"/>
  <c r="J39" i="74"/>
  <c r="J1054" i="94" s="1"/>
  <c r="C30" i="86"/>
  <c r="L306" i="73"/>
  <c r="P153" i="72"/>
  <c r="L235" i="72" s="1"/>
  <c r="O55" i="72"/>
  <c r="O1703" i="94" s="1"/>
  <c r="L309" i="73"/>
  <c r="F16" i="85"/>
  <c r="D17" i="83"/>
  <c r="H19" i="84"/>
  <c r="K19" i="88"/>
  <c r="C19" i="84"/>
  <c r="F52" i="89"/>
  <c r="P55" i="72"/>
  <c r="O153" i="72"/>
  <c r="K53" i="82"/>
  <c r="G162" i="78"/>
  <c r="B62" i="74"/>
  <c r="K16" i="74"/>
  <c r="K21" i="74" s="1"/>
  <c r="K1036" i="94" s="1"/>
  <c r="C45" i="74"/>
  <c r="C55" i="74" s="1"/>
  <c r="C65" i="82" s="1"/>
  <c r="B52" i="74"/>
  <c r="B1067" i="94" s="1"/>
  <c r="B54" i="74"/>
  <c r="B47" i="74"/>
  <c r="B1062" i="94" s="1"/>
  <c r="B46" i="74"/>
  <c r="E76" i="84" l="1"/>
  <c r="E73" i="84" s="1"/>
  <c r="E72" i="84"/>
  <c r="I72" i="84"/>
  <c r="I76" i="84"/>
  <c r="I73" i="84" s="1"/>
  <c r="B1061" i="94"/>
  <c r="B53" i="74"/>
  <c r="B1068" i="94" s="1"/>
  <c r="K72" i="84"/>
  <c r="B1035" i="94"/>
  <c r="B1039" i="94" s="1"/>
  <c r="C20" i="74"/>
  <c r="E20" i="74"/>
  <c r="F20" i="74"/>
  <c r="D20" i="74"/>
  <c r="G20" i="74"/>
  <c r="H20" i="74"/>
  <c r="I20" i="74"/>
  <c r="B38" i="74"/>
  <c r="B1053" i="94" s="1"/>
  <c r="J20" i="74"/>
  <c r="K20" i="74"/>
  <c r="K1035" i="94" s="1"/>
  <c r="B24" i="74"/>
  <c r="M988" i="94"/>
  <c r="O989" i="94"/>
  <c r="P1003" i="94"/>
  <c r="G72" i="84"/>
  <c r="G76" i="84"/>
  <c r="G73" i="84" s="1"/>
  <c r="K19" i="74"/>
  <c r="K1031" i="94"/>
  <c r="K235" i="72"/>
  <c r="O1801" i="94"/>
  <c r="F33" i="86"/>
  <c r="B1069" i="94"/>
  <c r="J1034" i="94"/>
  <c r="G607" i="94"/>
  <c r="O47" i="72"/>
  <c r="O1695" i="94" s="1"/>
  <c r="R1695" i="94" s="1"/>
  <c r="K35" i="74"/>
  <c r="K1050" i="94" s="1"/>
  <c r="J42" i="74"/>
  <c r="J1057" i="94" s="1"/>
  <c r="J41" i="74"/>
  <c r="C32" i="86"/>
  <c r="K40" i="74"/>
  <c r="K1055" i="94" s="1"/>
  <c r="D31" i="86"/>
  <c r="K39" i="74"/>
  <c r="K1054" i="94" s="1"/>
  <c r="D30" i="86"/>
  <c r="E12" i="72"/>
  <c r="O277" i="72"/>
  <c r="P277" i="72"/>
  <c r="L236" i="72" s="1"/>
  <c r="K21" i="88"/>
  <c r="K30" i="88" s="1"/>
  <c r="K34" i="88" s="1"/>
  <c r="I39" i="88"/>
  <c r="K38" i="88" s="1"/>
  <c r="B73" i="82"/>
  <c r="C62" i="74"/>
  <c r="D45" i="74"/>
  <c r="D55" i="74" s="1"/>
  <c r="D65" i="82" s="1"/>
  <c r="C46" i="74"/>
  <c r="C52" i="74"/>
  <c r="C1067" i="94" s="1"/>
  <c r="C47" i="74"/>
  <c r="C1062" i="94" s="1"/>
  <c r="C54" i="74"/>
  <c r="B48" i="74"/>
  <c r="D1035" i="94" l="1"/>
  <c r="D1039" i="94" s="1"/>
  <c r="D38" i="74"/>
  <c r="D1053" i="94" s="1"/>
  <c r="D24" i="74"/>
  <c r="G1035" i="94"/>
  <c r="G1039" i="94" s="1"/>
  <c r="G38" i="74"/>
  <c r="G1053" i="94" s="1"/>
  <c r="G24" i="74"/>
  <c r="C1061" i="94"/>
  <c r="K38" i="74"/>
  <c r="K1053" i="94" s="1"/>
  <c r="B44" i="82"/>
  <c r="B37" i="74"/>
  <c r="B1052" i="94" s="1"/>
  <c r="B33" i="74"/>
  <c r="B1048" i="94" s="1"/>
  <c r="B34" i="74"/>
  <c r="B1049" i="94" s="1"/>
  <c r="F1035" i="94"/>
  <c r="F1039" i="94" s="1"/>
  <c r="F38" i="74"/>
  <c r="F1053" i="94" s="1"/>
  <c r="F24" i="74"/>
  <c r="E1035" i="94"/>
  <c r="E1039" i="94" s="1"/>
  <c r="E24" i="74"/>
  <c r="E38" i="74"/>
  <c r="E1053" i="94" s="1"/>
  <c r="H1035" i="94"/>
  <c r="H1039" i="94" s="1"/>
  <c r="H24" i="74"/>
  <c r="H38" i="74"/>
  <c r="H1053" i="94" s="1"/>
  <c r="J1035" i="94"/>
  <c r="J1039" i="94" s="1"/>
  <c r="J38" i="74"/>
  <c r="J1053" i="94" s="1"/>
  <c r="C1035" i="94"/>
  <c r="C1039" i="94" s="1"/>
  <c r="C24" i="74"/>
  <c r="C38" i="74"/>
  <c r="C1053" i="94" s="1"/>
  <c r="J24" i="74"/>
  <c r="J34" i="74" s="1"/>
  <c r="J1049" i="94" s="1"/>
  <c r="I1035" i="94"/>
  <c r="I1039" i="94" s="1"/>
  <c r="I38" i="74"/>
  <c r="I1053" i="94" s="1"/>
  <c r="I24" i="74"/>
  <c r="J33" i="74"/>
  <c r="J1048" i="94" s="1"/>
  <c r="J37" i="74"/>
  <c r="J1052" i="94" s="1"/>
  <c r="D32" i="86"/>
  <c r="J1056" i="94"/>
  <c r="K236" i="72"/>
  <c r="O1925" i="94"/>
  <c r="B51" i="74"/>
  <c r="B1063" i="94"/>
  <c r="G33" i="86"/>
  <c r="C1069" i="94"/>
  <c r="K1034" i="94"/>
  <c r="K1039" i="94" s="1"/>
  <c r="K24" i="74"/>
  <c r="K34" i="74" s="1"/>
  <c r="K1049" i="94" s="1"/>
  <c r="B67" i="74"/>
  <c r="B1082" i="94" s="1"/>
  <c r="B70" i="74"/>
  <c r="B1085" i="94" s="1"/>
  <c r="K42" i="74"/>
  <c r="K41" i="74"/>
  <c r="K1056" i="94" s="1"/>
  <c r="B72" i="74"/>
  <c r="B1087" i="94" s="1"/>
  <c r="E31" i="86"/>
  <c r="B71" i="74"/>
  <c r="B1086" i="94" s="1"/>
  <c r="E30" i="86"/>
  <c r="O189" i="72"/>
  <c r="O1837" i="94" s="1"/>
  <c r="L229" i="72"/>
  <c r="L1877" i="94" s="1"/>
  <c r="P189" i="72"/>
  <c r="C73" i="82"/>
  <c r="D62" i="74"/>
  <c r="P47" i="72"/>
  <c r="R47" i="72"/>
  <c r="C48" i="74"/>
  <c r="C53" i="74" s="1"/>
  <c r="C1068" i="94" s="1"/>
  <c r="D46" i="74"/>
  <c r="E45" i="74"/>
  <c r="E55" i="74" s="1"/>
  <c r="E65" i="82" s="1"/>
  <c r="D54" i="74"/>
  <c r="D52" i="74"/>
  <c r="D1067" i="94" s="1"/>
  <c r="D47" i="74"/>
  <c r="D1062" i="94" s="1"/>
  <c r="G34" i="74" l="1"/>
  <c r="G1049" i="94" s="1"/>
  <c r="G44" i="82"/>
  <c r="G37" i="74"/>
  <c r="G1052" i="94" s="1"/>
  <c r="G33" i="74"/>
  <c r="G1048" i="94" s="1"/>
  <c r="D1061" i="94"/>
  <c r="J44" i="82"/>
  <c r="C44" i="82"/>
  <c r="C33" i="74"/>
  <c r="C1048" i="94" s="1"/>
  <c r="C34" i="74"/>
  <c r="C1049" i="94" s="1"/>
  <c r="C37" i="74"/>
  <c r="C1052" i="94" s="1"/>
  <c r="E34" i="74"/>
  <c r="E1049" i="94" s="1"/>
  <c r="E33" i="74"/>
  <c r="E1048" i="94" s="1"/>
  <c r="E44" i="82"/>
  <c r="E37" i="74"/>
  <c r="E1052" i="94" s="1"/>
  <c r="B51" i="82"/>
  <c r="B46" i="82"/>
  <c r="D44" i="82"/>
  <c r="D34" i="74"/>
  <c r="D1049" i="94" s="1"/>
  <c r="D33" i="74"/>
  <c r="D1048" i="94" s="1"/>
  <c r="D37" i="74"/>
  <c r="D1052" i="94" s="1"/>
  <c r="I34" i="74"/>
  <c r="I1049" i="94" s="1"/>
  <c r="I33" i="74"/>
  <c r="I1048" i="94" s="1"/>
  <c r="I37" i="74"/>
  <c r="I1052" i="94" s="1"/>
  <c r="I44" i="82"/>
  <c r="H34" i="74"/>
  <c r="H1049" i="94" s="1"/>
  <c r="H44" i="82"/>
  <c r="H37" i="74"/>
  <c r="H1052" i="94" s="1"/>
  <c r="H33" i="74"/>
  <c r="H1048" i="94" s="1"/>
  <c r="F34" i="74"/>
  <c r="F1049" i="94" s="1"/>
  <c r="F44" i="82"/>
  <c r="F33" i="74"/>
  <c r="F1048" i="94" s="1"/>
  <c r="F37" i="74"/>
  <c r="F1052" i="94" s="1"/>
  <c r="K44" i="82"/>
  <c r="K46" i="82" s="1"/>
  <c r="K37" i="74"/>
  <c r="K1052" i="94" s="1"/>
  <c r="K33" i="74"/>
  <c r="K1048" i="94" s="1"/>
  <c r="B74" i="74"/>
  <c r="B1089" i="94" s="1"/>
  <c r="K1057" i="94"/>
  <c r="K51" i="82"/>
  <c r="C51" i="74"/>
  <c r="C1063" i="94"/>
  <c r="B1066" i="94"/>
  <c r="B1071" i="94" s="1"/>
  <c r="B56" i="74"/>
  <c r="B66" i="74" s="1"/>
  <c r="B1081" i="94" s="1"/>
  <c r="H33" i="86"/>
  <c r="D1069" i="94"/>
  <c r="C67" i="74"/>
  <c r="C1082" i="94" s="1"/>
  <c r="C70" i="74"/>
  <c r="C1085" i="94" s="1"/>
  <c r="C74" i="74"/>
  <c r="C1089" i="94" s="1"/>
  <c r="B73" i="74"/>
  <c r="B1088" i="94" s="1"/>
  <c r="E32" i="86"/>
  <c r="C72" i="74"/>
  <c r="C1087" i="94" s="1"/>
  <c r="F31" i="86"/>
  <c r="C71" i="74"/>
  <c r="C1086" i="94" s="1"/>
  <c r="F30" i="86"/>
  <c r="P448" i="72"/>
  <c r="P451" i="72" s="1"/>
  <c r="L231" i="72"/>
  <c r="E13" i="72"/>
  <c r="K231" i="72"/>
  <c r="D73" i="82"/>
  <c r="E62" i="74"/>
  <c r="D48" i="74"/>
  <c r="D53" i="74" s="1"/>
  <c r="D1068" i="94" s="1"/>
  <c r="E46" i="74"/>
  <c r="F45" i="74"/>
  <c r="F55" i="74" s="1"/>
  <c r="F65" i="82" s="1"/>
  <c r="E52" i="74"/>
  <c r="E1067" i="94" s="1"/>
  <c r="E47" i="74"/>
  <c r="E1062" i="94" s="1"/>
  <c r="E54" i="74"/>
  <c r="C51" i="82" l="1"/>
  <c r="C46" i="82"/>
  <c r="E46" i="82"/>
  <c r="E51" i="82"/>
  <c r="F46" i="82"/>
  <c r="F51" i="82"/>
  <c r="E1061" i="94"/>
  <c r="E53" i="74"/>
  <c r="E1068" i="94" s="1"/>
  <c r="J51" i="82"/>
  <c r="J46" i="82"/>
  <c r="H51" i="82"/>
  <c r="H46" i="82"/>
  <c r="D46" i="82"/>
  <c r="D51" i="82"/>
  <c r="G51" i="82"/>
  <c r="G46" i="82"/>
  <c r="I51" i="82"/>
  <c r="I46" i="82"/>
  <c r="B64" i="82"/>
  <c r="B71" i="82" s="1"/>
  <c r="B69" i="74"/>
  <c r="B1084" i="94" s="1"/>
  <c r="B65" i="74"/>
  <c r="B1080" i="94" s="1"/>
  <c r="B66" i="82"/>
  <c r="D51" i="74"/>
  <c r="D1063" i="94"/>
  <c r="I33" i="86"/>
  <c r="E1069" i="94"/>
  <c r="C1066" i="94"/>
  <c r="C1071" i="94" s="1"/>
  <c r="C56" i="74"/>
  <c r="C66" i="74" s="1"/>
  <c r="C1081" i="94" s="1"/>
  <c r="D67" i="74"/>
  <c r="D1082" i="94" s="1"/>
  <c r="D70" i="74"/>
  <c r="D1085" i="94" s="1"/>
  <c r="D74" i="74"/>
  <c r="D1089" i="94" s="1"/>
  <c r="C73" i="74"/>
  <c r="C1088" i="94" s="1"/>
  <c r="F32" i="86"/>
  <c r="D72" i="74"/>
  <c r="D1087" i="94" s="1"/>
  <c r="G31" i="86"/>
  <c r="D71" i="74"/>
  <c r="D1086" i="94" s="1"/>
  <c r="G30" i="86"/>
  <c r="E73" i="82"/>
  <c r="F62" i="74"/>
  <c r="P6" i="72"/>
  <c r="E48" i="74"/>
  <c r="G45" i="74"/>
  <c r="G55" i="74" s="1"/>
  <c r="G65" i="82" s="1"/>
  <c r="F47" i="74"/>
  <c r="F1062" i="94" s="1"/>
  <c r="F54" i="74"/>
  <c r="F52" i="74"/>
  <c r="F1067" i="94" s="1"/>
  <c r="F46" i="74"/>
  <c r="F1061" i="94" l="1"/>
  <c r="C64" i="82"/>
  <c r="C66" i="82" s="1"/>
  <c r="C65" i="74"/>
  <c r="C1080" i="94" s="1"/>
  <c r="C69" i="74"/>
  <c r="C1084" i="94" s="1"/>
  <c r="E51" i="74"/>
  <c r="E1063" i="94"/>
  <c r="C53" i="86"/>
  <c r="F1069" i="94"/>
  <c r="D1066" i="94"/>
  <c r="D1071" i="94" s="1"/>
  <c r="D56" i="74"/>
  <c r="D66" i="74" s="1"/>
  <c r="D1081" i="94" s="1"/>
  <c r="E67" i="74"/>
  <c r="E1082" i="94" s="1"/>
  <c r="E70" i="74"/>
  <c r="E1085" i="94" s="1"/>
  <c r="E74" i="74"/>
  <c r="E1089" i="94" s="1"/>
  <c r="D73" i="74"/>
  <c r="D1088" i="94" s="1"/>
  <c r="G32" i="86"/>
  <c r="E72" i="74"/>
  <c r="H31" i="86"/>
  <c r="E71" i="74"/>
  <c r="E1086" i="94" s="1"/>
  <c r="H30" i="86"/>
  <c r="F73" i="82"/>
  <c r="G62" i="74"/>
  <c r="F48" i="74"/>
  <c r="F53" i="74" s="1"/>
  <c r="F1068" i="94" s="1"/>
  <c r="H45" i="74"/>
  <c r="H55" i="74" s="1"/>
  <c r="H65" i="82" s="1"/>
  <c r="G46" i="74"/>
  <c r="G47" i="74"/>
  <c r="G1062" i="94" s="1"/>
  <c r="G54" i="74"/>
  <c r="G52" i="74"/>
  <c r="G1067" i="94" s="1"/>
  <c r="G1061" i="94" l="1"/>
  <c r="C71" i="82"/>
  <c r="D64" i="82"/>
  <c r="D66" i="82" s="1"/>
  <c r="D65" i="74"/>
  <c r="D1080" i="94" s="1"/>
  <c r="D69" i="74"/>
  <c r="D1084" i="94" s="1"/>
  <c r="I31" i="86"/>
  <c r="E1087" i="94"/>
  <c r="F51" i="74"/>
  <c r="F1063" i="94"/>
  <c r="D53" i="86"/>
  <c r="G1069" i="94"/>
  <c r="E1066" i="94"/>
  <c r="E1071" i="94" s="1"/>
  <c r="E56" i="74"/>
  <c r="E66" i="74" s="1"/>
  <c r="E1081" i="94" s="1"/>
  <c r="F67" i="74"/>
  <c r="F1082" i="94" s="1"/>
  <c r="F70" i="74"/>
  <c r="F1085" i="94" s="1"/>
  <c r="F74" i="74"/>
  <c r="F1089" i="94" s="1"/>
  <c r="E73" i="74"/>
  <c r="E1088" i="94" s="1"/>
  <c r="H32" i="86"/>
  <c r="F72" i="74"/>
  <c r="F1087" i="94" s="1"/>
  <c r="F71" i="74"/>
  <c r="F1086" i="94" s="1"/>
  <c r="I30" i="86"/>
  <c r="G73" i="82"/>
  <c r="H62" i="74"/>
  <c r="I45" i="74"/>
  <c r="I55" i="74" s="1"/>
  <c r="I65" i="82" s="1"/>
  <c r="H46" i="74"/>
  <c r="H47" i="74"/>
  <c r="H1062" i="94" s="1"/>
  <c r="H54" i="74"/>
  <c r="H52" i="74"/>
  <c r="H1067" i="94" s="1"/>
  <c r="G48" i="74"/>
  <c r="G53" i="74" s="1"/>
  <c r="G1068" i="94" s="1"/>
  <c r="H1061" i="94" l="1"/>
  <c r="D71" i="82"/>
  <c r="E64" i="82"/>
  <c r="E71" i="82" s="1"/>
  <c r="E69" i="74"/>
  <c r="E1084" i="94" s="1"/>
  <c r="E65" i="74"/>
  <c r="E1080" i="94" s="1"/>
  <c r="E53" i="86"/>
  <c r="H1069" i="94"/>
  <c r="G51" i="74"/>
  <c r="G1063" i="94"/>
  <c r="F1066" i="94"/>
  <c r="F1071" i="94" s="1"/>
  <c r="F56" i="74"/>
  <c r="F66" i="74" s="1"/>
  <c r="F1081" i="94" s="1"/>
  <c r="G67" i="74"/>
  <c r="G1082" i="94" s="1"/>
  <c r="G70" i="74"/>
  <c r="G1085" i="94" s="1"/>
  <c r="G74" i="74"/>
  <c r="G1089" i="94" s="1"/>
  <c r="F73" i="74"/>
  <c r="F1088" i="94" s="1"/>
  <c r="I32" i="86"/>
  <c r="G72" i="74"/>
  <c r="G1087" i="94" s="1"/>
  <c r="C51" i="86"/>
  <c r="G71" i="74"/>
  <c r="G1086" i="94" s="1"/>
  <c r="C50" i="86"/>
  <c r="H73" i="82"/>
  <c r="I62" i="74"/>
  <c r="H48" i="74"/>
  <c r="H53" i="74" s="1"/>
  <c r="H1068" i="94" s="1"/>
  <c r="I46" i="74"/>
  <c r="I52" i="74"/>
  <c r="I1067" i="94" s="1"/>
  <c r="J45" i="74"/>
  <c r="J55" i="74" s="1"/>
  <c r="J65" i="82" s="1"/>
  <c r="I54" i="74"/>
  <c r="I47" i="74"/>
  <c r="I1062" i="94" s="1"/>
  <c r="I1061" i="94" l="1"/>
  <c r="E66" i="82"/>
  <c r="F64" i="82"/>
  <c r="F71" i="82" s="1"/>
  <c r="F65" i="74"/>
  <c r="F1080" i="94" s="1"/>
  <c r="F69" i="74"/>
  <c r="F1084" i="94" s="1"/>
  <c r="H51" i="74"/>
  <c r="H1063" i="94"/>
  <c r="G1066" i="94"/>
  <c r="G1071" i="94" s="1"/>
  <c r="G56" i="74"/>
  <c r="G66" i="74" s="1"/>
  <c r="G1081" i="94" s="1"/>
  <c r="F53" i="86"/>
  <c r="I1069" i="94"/>
  <c r="H67" i="74"/>
  <c r="H1082" i="94" s="1"/>
  <c r="H70" i="74"/>
  <c r="H1085" i="94" s="1"/>
  <c r="H74" i="74"/>
  <c r="H1089" i="94" s="1"/>
  <c r="G73" i="74"/>
  <c r="G1088" i="94" s="1"/>
  <c r="C52" i="86"/>
  <c r="H72" i="74"/>
  <c r="H1087" i="94" s="1"/>
  <c r="D51" i="86"/>
  <c r="H71" i="74"/>
  <c r="H1086" i="94" s="1"/>
  <c r="D50" i="86"/>
  <c r="I73" i="82"/>
  <c r="J62" i="74"/>
  <c r="I48" i="74"/>
  <c r="I53" i="74" s="1"/>
  <c r="I1068" i="94" s="1"/>
  <c r="K45" i="74"/>
  <c r="K55" i="74" s="1"/>
  <c r="K65" i="82" s="1"/>
  <c r="J52" i="74"/>
  <c r="J1067" i="94" s="1"/>
  <c r="J46" i="74"/>
  <c r="J54" i="74"/>
  <c r="J47" i="74"/>
  <c r="J1062" i="94" s="1"/>
  <c r="J1061" i="94" l="1"/>
  <c r="F66" i="82"/>
  <c r="B25" i="82" s="1"/>
  <c r="J52" i="82" s="1"/>
  <c r="J54" i="82" s="1"/>
  <c r="J55" i="82" s="1"/>
  <c r="J56" i="82" s="1"/>
  <c r="G65" i="74"/>
  <c r="G1080" i="94" s="1"/>
  <c r="G69" i="74"/>
  <c r="G1084" i="94" s="1"/>
  <c r="I72" i="82"/>
  <c r="K52" i="82"/>
  <c r="K54" i="82" s="1"/>
  <c r="K55" i="82" s="1"/>
  <c r="K56" i="82" s="1"/>
  <c r="G64" i="82"/>
  <c r="G64" i="74"/>
  <c r="G1079" i="94" s="1"/>
  <c r="K72" i="82"/>
  <c r="G53" i="86"/>
  <c r="J1069" i="94"/>
  <c r="I51" i="74"/>
  <c r="I1063" i="94"/>
  <c r="H72" i="82"/>
  <c r="H1066" i="94"/>
  <c r="H1071" i="94" s="1"/>
  <c r="H56" i="74"/>
  <c r="H66" i="74" s="1"/>
  <c r="H1081" i="94" s="1"/>
  <c r="I67" i="74"/>
  <c r="I1082" i="94" s="1"/>
  <c r="I70" i="74"/>
  <c r="I1085" i="94" s="1"/>
  <c r="I74" i="74"/>
  <c r="I1089" i="94" s="1"/>
  <c r="H73" i="74"/>
  <c r="H1088" i="94" s="1"/>
  <c r="D52" i="86"/>
  <c r="D57" i="86" s="1"/>
  <c r="D58" i="86" s="1"/>
  <c r="D60" i="86" s="1"/>
  <c r="D64" i="86" s="1"/>
  <c r="K21" i="86" s="1"/>
  <c r="I72" i="74"/>
  <c r="I1087" i="94" s="1"/>
  <c r="E51" i="86"/>
  <c r="I71" i="74"/>
  <c r="I1086" i="94" s="1"/>
  <c r="E50" i="86"/>
  <c r="J73" i="82"/>
  <c r="K62" i="74"/>
  <c r="B77" i="74"/>
  <c r="B87" i="74" s="1"/>
  <c r="K46" i="74"/>
  <c r="K47" i="74"/>
  <c r="K1062" i="94" s="1"/>
  <c r="K54" i="74"/>
  <c r="K52" i="74"/>
  <c r="K1067" i="94" s="1"/>
  <c r="J48" i="74"/>
  <c r="J53" i="74" s="1"/>
  <c r="J1068" i="94" s="1"/>
  <c r="E52" i="82" l="1"/>
  <c r="E54" i="82" s="1"/>
  <c r="E55" i="82" s="1"/>
  <c r="E56" i="82" s="1"/>
  <c r="B72" i="82"/>
  <c r="B74" i="82" s="1"/>
  <c r="B75" i="82" s="1"/>
  <c r="B76" i="82" s="1"/>
  <c r="F52" i="82"/>
  <c r="F54" i="82" s="1"/>
  <c r="F55" i="82" s="1"/>
  <c r="F56" i="82" s="1"/>
  <c r="K1061" i="94"/>
  <c r="I52" i="82"/>
  <c r="I54" i="82" s="1"/>
  <c r="I55" i="82" s="1"/>
  <c r="I56" i="82" s="1"/>
  <c r="F72" i="82"/>
  <c r="F74" i="82" s="1"/>
  <c r="F75" i="82" s="1"/>
  <c r="F76" i="82" s="1"/>
  <c r="H52" i="82"/>
  <c r="H54" i="82" s="1"/>
  <c r="H55" i="82" s="1"/>
  <c r="H56" i="82" s="1"/>
  <c r="E72" i="82"/>
  <c r="E74" i="82" s="1"/>
  <c r="E75" i="82" s="1"/>
  <c r="E76" i="82" s="1"/>
  <c r="J72" i="82"/>
  <c r="D72" i="82"/>
  <c r="D74" i="82" s="1"/>
  <c r="D75" i="82" s="1"/>
  <c r="D76" i="82" s="1"/>
  <c r="G72" i="82"/>
  <c r="G52" i="82"/>
  <c r="G54" i="82" s="1"/>
  <c r="G55" i="82" s="1"/>
  <c r="G56" i="82" s="1"/>
  <c r="C72" i="82"/>
  <c r="C74" i="82" s="1"/>
  <c r="C75" i="82" s="1"/>
  <c r="C76" i="82" s="1"/>
  <c r="D52" i="82"/>
  <c r="D54" i="82" s="1"/>
  <c r="D55" i="82" s="1"/>
  <c r="D56" i="82" s="1"/>
  <c r="B26" i="82"/>
  <c r="B5" i="82" s="1"/>
  <c r="B6" i="82" s="1"/>
  <c r="B7" i="82" s="1"/>
  <c r="B52" i="82"/>
  <c r="B54" i="82" s="1"/>
  <c r="B55" i="82" s="1"/>
  <c r="B59" i="82" s="1"/>
  <c r="C52" i="82"/>
  <c r="C54" i="82" s="1"/>
  <c r="C55" i="82" s="1"/>
  <c r="C56" i="82" s="1"/>
  <c r="H64" i="74"/>
  <c r="H1079" i="94" s="1"/>
  <c r="H69" i="74"/>
  <c r="H1084" i="94" s="1"/>
  <c r="H65" i="74"/>
  <c r="H1080" i="94" s="1"/>
  <c r="G71" i="82"/>
  <c r="G66" i="82"/>
  <c r="H53" i="86"/>
  <c r="K1069" i="94"/>
  <c r="H64" i="82"/>
  <c r="H71" i="82" s="1"/>
  <c r="H74" i="82" s="1"/>
  <c r="H75" i="82" s="1"/>
  <c r="H76" i="82" s="1"/>
  <c r="I1066" i="94"/>
  <c r="I1071" i="94" s="1"/>
  <c r="I56" i="74"/>
  <c r="I66" i="74" s="1"/>
  <c r="I1081" i="94" s="1"/>
  <c r="J51" i="74"/>
  <c r="J1063" i="94"/>
  <c r="J67" i="74"/>
  <c r="J1082" i="94" s="1"/>
  <c r="J70" i="74"/>
  <c r="J1085" i="94" s="1"/>
  <c r="J74" i="74"/>
  <c r="J1089" i="94" s="1"/>
  <c r="I73" i="74"/>
  <c r="I1088" i="94" s="1"/>
  <c r="E52" i="86"/>
  <c r="E57" i="86" s="1"/>
  <c r="E58" i="86" s="1"/>
  <c r="E60" i="86" s="1"/>
  <c r="E64" i="86" s="1"/>
  <c r="K22" i="86" s="1"/>
  <c r="J72" i="74"/>
  <c r="J1087" i="94" s="1"/>
  <c r="F51" i="86"/>
  <c r="J71" i="74"/>
  <c r="J1086" i="94" s="1"/>
  <c r="F50" i="86"/>
  <c r="K73" i="82"/>
  <c r="B94" i="74"/>
  <c r="K48" i="74"/>
  <c r="K53" i="74" s="1"/>
  <c r="K1068" i="94" s="1"/>
  <c r="C77" i="74"/>
  <c r="C87" i="74" s="1"/>
  <c r="B86" i="74"/>
  <c r="B1101" i="94" s="1"/>
  <c r="B78" i="74"/>
  <c r="B84" i="74"/>
  <c r="B1099" i="94" s="1"/>
  <c r="B79" i="74"/>
  <c r="B1094" i="94" s="1"/>
  <c r="G74" i="82" l="1"/>
  <c r="G75" i="82" s="1"/>
  <c r="G76" i="82" s="1"/>
  <c r="B1093" i="94"/>
  <c r="B9" i="82"/>
  <c r="B10" i="82" s="1"/>
  <c r="B11" i="82" s="1"/>
  <c r="B56" i="82"/>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I64" i="82"/>
  <c r="I66" i="82" s="1"/>
  <c r="I69" i="74"/>
  <c r="I1084" i="94" s="1"/>
  <c r="I65" i="74"/>
  <c r="I1080" i="94" s="1"/>
  <c r="H66" i="82"/>
  <c r="J1066" i="94"/>
  <c r="J1071" i="94" s="1"/>
  <c r="J56" i="74"/>
  <c r="J66" i="74" s="1"/>
  <c r="J1081" i="94" s="1"/>
  <c r="I64" i="74"/>
  <c r="I1079" i="94" s="1"/>
  <c r="K51" i="74"/>
  <c r="K1063" i="94"/>
  <c r="K67" i="74"/>
  <c r="K1082" i="94" s="1"/>
  <c r="K70" i="74"/>
  <c r="K1085" i="94" s="1"/>
  <c r="K74" i="74"/>
  <c r="K1089" i="94" s="1"/>
  <c r="J73" i="74"/>
  <c r="J1088" i="94" s="1"/>
  <c r="F52" i="86"/>
  <c r="F57" i="86" s="1"/>
  <c r="F58" i="86" s="1"/>
  <c r="F60" i="86" s="1"/>
  <c r="F64" i="86" s="1"/>
  <c r="K23" i="86" s="1"/>
  <c r="K72" i="74"/>
  <c r="K1087" i="94" s="1"/>
  <c r="G51" i="86"/>
  <c r="K71" i="74"/>
  <c r="K1086" i="94" s="1"/>
  <c r="G50" i="86"/>
  <c r="C94" i="74"/>
  <c r="D77" i="74"/>
  <c r="D87" i="74" s="1"/>
  <c r="C84" i="74"/>
  <c r="C1099" i="94" s="1"/>
  <c r="C86" i="74"/>
  <c r="C1101" i="94" s="1"/>
  <c r="C79" i="74"/>
  <c r="C1094" i="94" s="1"/>
  <c r="C78" i="74"/>
  <c r="B80" i="74"/>
  <c r="B85" i="74" s="1"/>
  <c r="B1100" i="94" l="1"/>
  <c r="B101" i="74"/>
  <c r="B1116" i="94" s="1"/>
  <c r="C1093" i="94"/>
  <c r="I71" i="82"/>
  <c r="I74" i="82" s="1"/>
  <c r="I75" i="82" s="1"/>
  <c r="I76" i="82" s="1"/>
  <c r="J64" i="74"/>
  <c r="J1079" i="94" s="1"/>
  <c r="J69" i="74"/>
  <c r="J1084" i="94" s="1"/>
  <c r="J65" i="74"/>
  <c r="J1080" i="94" s="1"/>
  <c r="J64" i="82"/>
  <c r="J71" i="82" s="1"/>
  <c r="J74" i="82" s="1"/>
  <c r="J75" i="82" s="1"/>
  <c r="J76" i="82" s="1"/>
  <c r="K1066" i="94"/>
  <c r="K1071" i="94" s="1"/>
  <c r="K56" i="74"/>
  <c r="K66" i="74" s="1"/>
  <c r="K1081" i="94" s="1"/>
  <c r="B83" i="74"/>
  <c r="B1095" i="94"/>
  <c r="B98" i="74"/>
  <c r="B1113" i="94" s="1"/>
  <c r="B105" i="74"/>
  <c r="B1120" i="94" s="1"/>
  <c r="K73" i="74"/>
  <c r="K1088" i="94" s="1"/>
  <c r="G52" i="86"/>
  <c r="G57" i="86" s="1"/>
  <c r="G58" i="86" s="1"/>
  <c r="G60" i="86" s="1"/>
  <c r="G64" i="86" s="1"/>
  <c r="K24" i="86" s="1"/>
  <c r="B103" i="74"/>
  <c r="B1118" i="94" s="1"/>
  <c r="H51" i="86"/>
  <c r="L93" i="85"/>
  <c r="L63" i="85"/>
  <c r="C85" i="90"/>
  <c r="B102" i="74"/>
  <c r="B1117" i="94" s="1"/>
  <c r="H50" i="86"/>
  <c r="D94" i="74"/>
  <c r="C80" i="74"/>
  <c r="C85" i="74" s="1"/>
  <c r="C1100" i="94" s="1"/>
  <c r="E77" i="74"/>
  <c r="E87" i="74" s="1"/>
  <c r="D86" i="74"/>
  <c r="D1101" i="94" s="1"/>
  <c r="D79" i="74"/>
  <c r="D1094" i="94" s="1"/>
  <c r="D84" i="74"/>
  <c r="D1099" i="94" s="1"/>
  <c r="D78" i="74"/>
  <c r="D1093" i="94" l="1"/>
  <c r="K64" i="74"/>
  <c r="K1079" i="94" s="1"/>
  <c r="K69" i="74"/>
  <c r="K1084" i="94" s="1"/>
  <c r="K65" i="74"/>
  <c r="K1080" i="94" s="1"/>
  <c r="J66" i="82"/>
  <c r="K64" i="82"/>
  <c r="K71" i="82" s="1"/>
  <c r="K74" i="82" s="1"/>
  <c r="K75" i="82" s="1"/>
  <c r="K76" i="82" s="1"/>
  <c r="B1098" i="94"/>
  <c r="B1103" i="94" s="1"/>
  <c r="B88" i="74"/>
  <c r="B97" i="74" s="1"/>
  <c r="B1112" i="94" s="1"/>
  <c r="C83" i="74"/>
  <c r="C1095" i="94"/>
  <c r="C98" i="74"/>
  <c r="C1113" i="94" s="1"/>
  <c r="C101" i="74"/>
  <c r="C1116" i="94" s="1"/>
  <c r="C105" i="74"/>
  <c r="C1120" i="94" s="1"/>
  <c r="B104" i="74"/>
  <c r="B1119" i="94" s="1"/>
  <c r="O8" i="86"/>
  <c r="O14" i="86" s="1"/>
  <c r="O33" i="86" s="1"/>
  <c r="H63" i="86" s="1"/>
  <c r="H52" i="86"/>
  <c r="H57" i="86" s="1"/>
  <c r="H58" i="86" s="1"/>
  <c r="H60" i="86" s="1"/>
  <c r="C103" i="74"/>
  <c r="C1118" i="94" s="1"/>
  <c r="C102" i="74"/>
  <c r="C1117" i="94" s="1"/>
  <c r="E94" i="74"/>
  <c r="D80" i="74"/>
  <c r="D85" i="74" s="1"/>
  <c r="D1100" i="94" s="1"/>
  <c r="F77" i="74"/>
  <c r="F87" i="74" s="1"/>
  <c r="E78" i="74"/>
  <c r="E84" i="74"/>
  <c r="E1099" i="94" s="1"/>
  <c r="E79" i="74"/>
  <c r="E1094" i="94" s="1"/>
  <c r="E86" i="74"/>
  <c r="E1101" i="94" s="1"/>
  <c r="E1093" i="94" l="1"/>
  <c r="B95" i="74"/>
  <c r="B1110" i="94" s="1"/>
  <c r="B96" i="74"/>
  <c r="B1111" i="94" s="1"/>
  <c r="B100" i="74"/>
  <c r="B1115" i="94" s="1"/>
  <c r="K66" i="82"/>
  <c r="D83" i="74"/>
  <c r="D1095" i="94"/>
  <c r="C1098" i="94"/>
  <c r="C1103" i="94" s="1"/>
  <c r="C88" i="74"/>
  <c r="C97" i="74" s="1"/>
  <c r="C1112" i="94" s="1"/>
  <c r="D98" i="74"/>
  <c r="D1113" i="94" s="1"/>
  <c r="D101" i="74"/>
  <c r="D1116" i="94" s="1"/>
  <c r="H64" i="86"/>
  <c r="K25" i="86" s="1"/>
  <c r="D105" i="74"/>
  <c r="D1120" i="94" s="1"/>
  <c r="C104" i="74"/>
  <c r="C1119" i="94" s="1"/>
  <c r="D103" i="74"/>
  <c r="D1118" i="94" s="1"/>
  <c r="D102" i="74"/>
  <c r="D1117" i="94" s="1"/>
  <c r="F94" i="74"/>
  <c r="E80" i="74"/>
  <c r="E85" i="74" s="1"/>
  <c r="E1100" i="94" s="1"/>
  <c r="G77" i="74"/>
  <c r="G87" i="74" s="1"/>
  <c r="F79" i="74"/>
  <c r="F1094" i="94" s="1"/>
  <c r="F78" i="74"/>
  <c r="F86" i="74"/>
  <c r="F1101" i="94" s="1"/>
  <c r="F84" i="74"/>
  <c r="F1099" i="94" s="1"/>
  <c r="F1093" i="94" l="1"/>
  <c r="C95" i="74"/>
  <c r="C1110" i="94" s="1"/>
  <c r="C96" i="74"/>
  <c r="C1111" i="94" s="1"/>
  <c r="C100" i="74"/>
  <c r="C1115" i="94" s="1"/>
  <c r="E83" i="74"/>
  <c r="E1095" i="94"/>
  <c r="D1098" i="94"/>
  <c r="D1103" i="94" s="1"/>
  <c r="D88" i="74"/>
  <c r="D97" i="74" s="1"/>
  <c r="D1112" i="94" s="1"/>
  <c r="E98" i="74"/>
  <c r="E1113" i="94" s="1"/>
  <c r="E101" i="74"/>
  <c r="E1116" i="94" s="1"/>
  <c r="E105" i="74"/>
  <c r="E1120" i="94" s="1"/>
  <c r="D104" i="74"/>
  <c r="D1119" i="94" s="1"/>
  <c r="E103" i="74"/>
  <c r="E1118" i="94" s="1"/>
  <c r="E102" i="74"/>
  <c r="E1117" i="94" s="1"/>
  <c r="G94" i="74"/>
  <c r="H77" i="74"/>
  <c r="H87" i="74" s="1"/>
  <c r="G78" i="74"/>
  <c r="G84" i="74"/>
  <c r="G1099" i="94" s="1"/>
  <c r="G79" i="74"/>
  <c r="G1094" i="94" s="1"/>
  <c r="G86" i="74"/>
  <c r="G1101" i="94" s="1"/>
  <c r="F80" i="74"/>
  <c r="F85" i="74" s="1"/>
  <c r="F1100" i="94" s="1"/>
  <c r="G1093" i="94" l="1"/>
  <c r="D95" i="74"/>
  <c r="D1110" i="94" s="1"/>
  <c r="D96" i="74"/>
  <c r="D1111" i="94" s="1"/>
  <c r="D100" i="74"/>
  <c r="D1115" i="94" s="1"/>
  <c r="F83" i="74"/>
  <c r="F1095" i="94"/>
  <c r="E1098" i="94"/>
  <c r="E1103" i="94" s="1"/>
  <c r="E88" i="74"/>
  <c r="E97" i="74" s="1"/>
  <c r="E1112" i="94" s="1"/>
  <c r="F97" i="74"/>
  <c r="F1112" i="94" s="1"/>
  <c r="F98" i="74"/>
  <c r="F1113" i="94" s="1"/>
  <c r="F101" i="74"/>
  <c r="F1116" i="94" s="1"/>
  <c r="F105" i="74"/>
  <c r="F1120" i="94" s="1"/>
  <c r="E104" i="74"/>
  <c r="E1119" i="94" s="1"/>
  <c r="F103" i="74"/>
  <c r="F1118" i="94" s="1"/>
  <c r="F102" i="74"/>
  <c r="F1117" i="94" s="1"/>
  <c r="H94" i="74"/>
  <c r="G80" i="74"/>
  <c r="G85" i="74" s="1"/>
  <c r="G1100" i="94" s="1"/>
  <c r="I77" i="74"/>
  <c r="I87" i="74" s="1"/>
  <c r="H86" i="74"/>
  <c r="H1101" i="94" s="1"/>
  <c r="H79" i="74"/>
  <c r="H1094" i="94" s="1"/>
  <c r="H78" i="74"/>
  <c r="H84" i="74"/>
  <c r="H1099" i="94" s="1"/>
  <c r="H1093" i="94" l="1"/>
  <c r="E95" i="74"/>
  <c r="E1110" i="94" s="1"/>
  <c r="E96" i="74"/>
  <c r="E1111" i="94" s="1"/>
  <c r="E100" i="74"/>
  <c r="E1115" i="94" s="1"/>
  <c r="G83" i="74"/>
  <c r="G1095" i="94"/>
  <c r="F1098" i="94"/>
  <c r="F1103" i="94" s="1"/>
  <c r="F88" i="74"/>
  <c r="G97" i="74"/>
  <c r="G1112" i="94" s="1"/>
  <c r="G98" i="74"/>
  <c r="G1113" i="94" s="1"/>
  <c r="G101" i="74"/>
  <c r="G1116" i="94" s="1"/>
  <c r="G105" i="74"/>
  <c r="G1120" i="94" s="1"/>
  <c r="F104" i="74"/>
  <c r="F1119" i="94" s="1"/>
  <c r="G103" i="74"/>
  <c r="G1118" i="94" s="1"/>
  <c r="G102" i="74"/>
  <c r="G1117" i="94" s="1"/>
  <c r="I94" i="74"/>
  <c r="J77" i="74"/>
  <c r="J87" i="74" s="1"/>
  <c r="I84" i="74"/>
  <c r="I1099" i="94" s="1"/>
  <c r="I78" i="74"/>
  <c r="I86" i="74"/>
  <c r="I1101" i="94" s="1"/>
  <c r="I79" i="74"/>
  <c r="I1094" i="94" s="1"/>
  <c r="H80" i="74"/>
  <c r="H85" i="74" s="1"/>
  <c r="H1100" i="94" s="1"/>
  <c r="I1093" i="94" l="1"/>
  <c r="F95" i="74"/>
  <c r="F1110" i="94" s="1"/>
  <c r="F96" i="74"/>
  <c r="F1111" i="94" s="1"/>
  <c r="F100" i="74"/>
  <c r="F1115" i="94" s="1"/>
  <c r="H83" i="74"/>
  <c r="H1095" i="94"/>
  <c r="G1098" i="94"/>
  <c r="G1103" i="94" s="1"/>
  <c r="G88" i="74"/>
  <c r="H97" i="74"/>
  <c r="H1112" i="94" s="1"/>
  <c r="H98" i="74"/>
  <c r="H1113" i="94" s="1"/>
  <c r="H101" i="74"/>
  <c r="H1116" i="94" s="1"/>
  <c r="H105" i="74"/>
  <c r="H1120" i="94" s="1"/>
  <c r="G104" i="74"/>
  <c r="G1119" i="94" s="1"/>
  <c r="H103" i="74"/>
  <c r="H1118" i="94" s="1"/>
  <c r="H102" i="74"/>
  <c r="H1117" i="94" s="1"/>
  <c r="J94" i="74"/>
  <c r="I80" i="74"/>
  <c r="I85" i="74" s="1"/>
  <c r="I1100" i="94" s="1"/>
  <c r="K77" i="74"/>
  <c r="K87" i="74" s="1"/>
  <c r="J84" i="74"/>
  <c r="J1099" i="94" s="1"/>
  <c r="J86" i="74"/>
  <c r="J1101" i="94" s="1"/>
  <c r="J79" i="74"/>
  <c r="J1094" i="94" s="1"/>
  <c r="J78" i="74"/>
  <c r="J1093" i="94" l="1"/>
  <c r="J85" i="74"/>
  <c r="J1100" i="94" s="1"/>
  <c r="G95" i="74"/>
  <c r="G1110" i="94" s="1"/>
  <c r="G96" i="74"/>
  <c r="G1111" i="94" s="1"/>
  <c r="G100" i="74"/>
  <c r="G1115" i="94" s="1"/>
  <c r="I83" i="74"/>
  <c r="I1095" i="94"/>
  <c r="H1098" i="94"/>
  <c r="H1103" i="94" s="1"/>
  <c r="H88" i="74"/>
  <c r="I97" i="74"/>
  <c r="I1112" i="94" s="1"/>
  <c r="I98" i="74"/>
  <c r="I1113" i="94" s="1"/>
  <c r="I101" i="74"/>
  <c r="I1116" i="94" s="1"/>
  <c r="I105" i="74"/>
  <c r="I1120" i="94" s="1"/>
  <c r="H104" i="74"/>
  <c r="H1119" i="94" s="1"/>
  <c r="I103" i="74"/>
  <c r="I1118" i="94" s="1"/>
  <c r="I102" i="74"/>
  <c r="I1117" i="94" s="1"/>
  <c r="K94" i="74"/>
  <c r="J80" i="74"/>
  <c r="B107" i="74"/>
  <c r="B117" i="74" s="1"/>
  <c r="K78" i="74"/>
  <c r="K79" i="74"/>
  <c r="K1094" i="94" s="1"/>
  <c r="K86" i="74"/>
  <c r="K1101" i="94" s="1"/>
  <c r="K84" i="74"/>
  <c r="K1099" i="94" s="1"/>
  <c r="K1093" i="94" l="1"/>
  <c r="K85" i="74"/>
  <c r="K1100" i="94" s="1"/>
  <c r="H95" i="74"/>
  <c r="H1110" i="94" s="1"/>
  <c r="H96" i="74"/>
  <c r="H1111" i="94" s="1"/>
  <c r="H100" i="74"/>
  <c r="H1115" i="94" s="1"/>
  <c r="J83" i="74"/>
  <c r="J1095" i="94"/>
  <c r="I1098" i="94"/>
  <c r="I1103" i="94" s="1"/>
  <c r="I88" i="74"/>
  <c r="J97" i="74"/>
  <c r="J1112" i="94" s="1"/>
  <c r="J98" i="74"/>
  <c r="J1113" i="94" s="1"/>
  <c r="J101" i="74"/>
  <c r="J1116" i="94" s="1"/>
  <c r="J105" i="74"/>
  <c r="J1120" i="94" s="1"/>
  <c r="I104" i="74"/>
  <c r="I1119" i="94" s="1"/>
  <c r="J103" i="74"/>
  <c r="J1118" i="94" s="1"/>
  <c r="J102" i="74"/>
  <c r="J1117" i="94" s="1"/>
  <c r="B124" i="74"/>
  <c r="K80" i="74"/>
  <c r="C107" i="74"/>
  <c r="C117" i="74" s="1"/>
  <c r="B116" i="74"/>
  <c r="B1131" i="94" s="1"/>
  <c r="B114" i="74"/>
  <c r="B1129" i="94" s="1"/>
  <c r="B108" i="74"/>
  <c r="B109" i="74"/>
  <c r="B1124" i="94" s="1"/>
  <c r="B1123" i="94" l="1"/>
  <c r="I95" i="74"/>
  <c r="I1110" i="94" s="1"/>
  <c r="I96" i="74"/>
  <c r="I1111" i="94" s="1"/>
  <c r="I100" i="74"/>
  <c r="I1115" i="94" s="1"/>
  <c r="K83" i="74"/>
  <c r="K1095" i="94"/>
  <c r="J1098" i="94"/>
  <c r="J1103" i="94" s="1"/>
  <c r="J88" i="74"/>
  <c r="K97" i="74"/>
  <c r="K1112" i="94" s="1"/>
  <c r="K98" i="74"/>
  <c r="K1113" i="94" s="1"/>
  <c r="K101" i="74"/>
  <c r="K1116" i="94" s="1"/>
  <c r="K105" i="74"/>
  <c r="K1120" i="94" s="1"/>
  <c r="J104" i="74"/>
  <c r="J1119" i="94" s="1"/>
  <c r="K103" i="74"/>
  <c r="K1118" i="94" s="1"/>
  <c r="K102" i="74"/>
  <c r="K1117" i="94" s="1"/>
  <c r="C124" i="74"/>
  <c r="D107" i="74"/>
  <c r="D117" i="74" s="1"/>
  <c r="C116" i="74"/>
  <c r="C1131" i="94" s="1"/>
  <c r="C114" i="74"/>
  <c r="C1129" i="94" s="1"/>
  <c r="C109" i="74"/>
  <c r="C1124" i="94" s="1"/>
  <c r="C108" i="74"/>
  <c r="B110" i="74"/>
  <c r="B115" i="74" s="1"/>
  <c r="B1130" i="94" s="1"/>
  <c r="C1123" i="94" l="1"/>
  <c r="J95" i="74"/>
  <c r="J1110" i="94" s="1"/>
  <c r="J96" i="74"/>
  <c r="J1111" i="94" s="1"/>
  <c r="J100" i="74"/>
  <c r="J1115" i="94" s="1"/>
  <c r="B113" i="74"/>
  <c r="B1125" i="94"/>
  <c r="K1098" i="94"/>
  <c r="K1103" i="94" s="1"/>
  <c r="K88" i="74"/>
  <c r="B127" i="74"/>
  <c r="B1142" i="94" s="1"/>
  <c r="B128" i="74"/>
  <c r="B1143" i="94" s="1"/>
  <c r="B131" i="74"/>
  <c r="B1146" i="94" s="1"/>
  <c r="B135" i="74"/>
  <c r="B1150" i="94" s="1"/>
  <c r="K104" i="74"/>
  <c r="K1119" i="94" s="1"/>
  <c r="B133" i="74"/>
  <c r="B1148" i="94" s="1"/>
  <c r="B132" i="74"/>
  <c r="B1147" i="94" s="1"/>
  <c r="D124" i="74"/>
  <c r="C110" i="74"/>
  <c r="C115" i="74" s="1"/>
  <c r="C1130" i="94" s="1"/>
  <c r="D114" i="74"/>
  <c r="D1129" i="94" s="1"/>
  <c r="D108" i="74"/>
  <c r="E107" i="74"/>
  <c r="E117" i="74" s="1"/>
  <c r="D109" i="74"/>
  <c r="D1124" i="94" s="1"/>
  <c r="D116" i="74"/>
  <c r="D1131" i="94" s="1"/>
  <c r="D1123" i="94" l="1"/>
  <c r="D115" i="74"/>
  <c r="D1130" i="94" s="1"/>
  <c r="K95" i="74"/>
  <c r="K1110" i="94" s="1"/>
  <c r="K100" i="74"/>
  <c r="K1115" i="94" s="1"/>
  <c r="K96" i="74"/>
  <c r="K1111" i="94" s="1"/>
  <c r="C113" i="74"/>
  <c r="C1125" i="94"/>
  <c r="B1128" i="94"/>
  <c r="B1133" i="94" s="1"/>
  <c r="B118" i="74"/>
  <c r="C127" i="74"/>
  <c r="C1142" i="94" s="1"/>
  <c r="C128" i="74"/>
  <c r="C1143" i="94" s="1"/>
  <c r="C131" i="74"/>
  <c r="C1146" i="94" s="1"/>
  <c r="C135" i="74"/>
  <c r="C1150" i="94" s="1"/>
  <c r="B134" i="74"/>
  <c r="B1149" i="94" s="1"/>
  <c r="C133" i="74"/>
  <c r="C1148" i="94" s="1"/>
  <c r="C132" i="74"/>
  <c r="C1147" i="94" s="1"/>
  <c r="E124" i="74"/>
  <c r="D110" i="74"/>
  <c r="F107" i="74"/>
  <c r="F117" i="74" s="1"/>
  <c r="E108" i="74"/>
  <c r="E116" i="74"/>
  <c r="E1131" i="94" s="1"/>
  <c r="E109" i="74"/>
  <c r="E1124" i="94" s="1"/>
  <c r="E114" i="74"/>
  <c r="E1129" i="94" s="1"/>
  <c r="E1123" i="94" l="1"/>
  <c r="B125" i="74"/>
  <c r="B1140" i="94" s="1"/>
  <c r="B126" i="74"/>
  <c r="B1141" i="94" s="1"/>
  <c r="B130" i="74"/>
  <c r="B1145" i="94" s="1"/>
  <c r="D113" i="74"/>
  <c r="D1125" i="94"/>
  <c r="C1128" i="94"/>
  <c r="C1133" i="94" s="1"/>
  <c r="C118" i="74"/>
  <c r="D127" i="74"/>
  <c r="D1142" i="94" s="1"/>
  <c r="D128" i="74"/>
  <c r="D1143" i="94" s="1"/>
  <c r="D131" i="74"/>
  <c r="D1146" i="94" s="1"/>
  <c r="D135" i="74"/>
  <c r="D1150" i="94" s="1"/>
  <c r="C134" i="74"/>
  <c r="C1149" i="94" s="1"/>
  <c r="D133" i="74"/>
  <c r="D1148" i="94" s="1"/>
  <c r="D132" i="74"/>
  <c r="D1147" i="94" s="1"/>
  <c r="F124" i="74"/>
  <c r="E110" i="74"/>
  <c r="E115" i="74" s="1"/>
  <c r="E1130" i="94" s="1"/>
  <c r="F116" i="74"/>
  <c r="F1131" i="94" s="1"/>
  <c r="F109" i="74"/>
  <c r="F1124" i="94" s="1"/>
  <c r="F108" i="74"/>
  <c r="F114" i="74"/>
  <c r="F1129" i="94" s="1"/>
  <c r="F1123" i="94" l="1"/>
  <c r="F115" i="74"/>
  <c r="F1130" i="94" s="1"/>
  <c r="C125" i="74"/>
  <c r="C1140" i="94" s="1"/>
  <c r="C126" i="74"/>
  <c r="C1141" i="94" s="1"/>
  <c r="C130" i="74"/>
  <c r="C1145" i="94" s="1"/>
  <c r="E113" i="74"/>
  <c r="E1125" i="94"/>
  <c r="D1128" i="94"/>
  <c r="D1133" i="94" s="1"/>
  <c r="D118" i="74"/>
  <c r="E127" i="74"/>
  <c r="E1142" i="94" s="1"/>
  <c r="E128" i="74"/>
  <c r="E1143" i="94" s="1"/>
  <c r="E131" i="74"/>
  <c r="E1146" i="94" s="1"/>
  <c r="E135" i="74"/>
  <c r="E1150" i="94" s="1"/>
  <c r="D134" i="74"/>
  <c r="D1149" i="94" s="1"/>
  <c r="E133" i="74"/>
  <c r="E1148" i="94" s="1"/>
  <c r="E132" i="74"/>
  <c r="E1147" i="94" s="1"/>
  <c r="F110" i="74"/>
  <c r="D125" i="74" l="1"/>
  <c r="D1140" i="94" s="1"/>
  <c r="D130" i="74"/>
  <c r="D1145" i="94" s="1"/>
  <c r="D126" i="74"/>
  <c r="D1141" i="94" s="1"/>
  <c r="F113" i="74"/>
  <c r="F1125" i="94"/>
  <c r="E1128" i="94"/>
  <c r="E1133" i="94" s="1"/>
  <c r="E118" i="74"/>
  <c r="F127" i="74"/>
  <c r="F1142" i="94" s="1"/>
  <c r="F128" i="74"/>
  <c r="F1143" i="94" s="1"/>
  <c r="F131" i="74"/>
  <c r="F1146" i="94" s="1"/>
  <c r="F135" i="74"/>
  <c r="F1150" i="94" s="1"/>
  <c r="E134" i="74"/>
  <c r="E1149" i="94" s="1"/>
  <c r="F133" i="74"/>
  <c r="F1148" i="94" s="1"/>
  <c r="F132" i="74"/>
  <c r="F1147"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5" i="74" l="1"/>
  <c r="E1140" i="94" s="1"/>
  <c r="E126" i="74"/>
  <c r="E1141" i="94" s="1"/>
  <c r="E130" i="74"/>
  <c r="E1145" i="94" s="1"/>
  <c r="F1128" i="94"/>
  <c r="F1133" i="94" s="1"/>
  <c r="F118" i="74"/>
  <c r="F134" i="74"/>
  <c r="F1149" i="94" s="1"/>
  <c r="A58" i="26"/>
  <c r="G58" i="26"/>
  <c r="A1" i="25"/>
  <c r="A50" i="25"/>
  <c r="A1" i="26"/>
  <c r="F125" i="74" l="1"/>
  <c r="F1140" i="94" s="1"/>
  <c r="F130" i="74"/>
  <c r="F1145" i="94" s="1"/>
  <c r="F126" i="74"/>
  <c r="F1141" i="94" s="1"/>
  <c r="O306" i="72"/>
  <c r="Q307" i="72"/>
  <c r="O448" i="72" l="1"/>
  <c r="O2096" i="94" s="1"/>
  <c r="O1654" i="94" s="1"/>
  <c r="O1954" i="94"/>
  <c r="E16" i="72"/>
  <c r="O6" i="72" l="1"/>
  <c r="C133" i="90"/>
  <c r="L59" i="85" s="1"/>
  <c r="B32" i="82"/>
  <c r="B35" i="82" s="1"/>
  <c r="B36" i="82" s="1"/>
  <c r="D43" i="68"/>
  <c r="D420" i="94" s="1"/>
  <c r="I58" i="68"/>
  <c r="P43" i="68"/>
  <c r="B63" i="74" l="1"/>
  <c r="B64" i="74" s="1"/>
  <c r="D1078" i="94"/>
  <c r="C1078" i="94"/>
  <c r="B1078" i="94"/>
  <c r="E1078" i="94"/>
  <c r="F1078" i="94"/>
  <c r="P420" i="94"/>
  <c r="J164" i="78"/>
  <c r="J165" i="78" s="1"/>
  <c r="J167" i="78" s="1"/>
  <c r="J609" i="94"/>
  <c r="J610" i="94" s="1"/>
  <c r="J612" i="94" s="1"/>
  <c r="J614" i="94" s="1"/>
  <c r="J616" i="94" s="1"/>
  <c r="C63" i="74"/>
  <c r="C64" i="74" s="1"/>
  <c r="C31" i="74"/>
  <c r="C1046" i="94" s="1"/>
  <c r="E63" i="74"/>
  <c r="E64" i="74" s="1"/>
  <c r="F31" i="74"/>
  <c r="F1046" i="94" s="1"/>
  <c r="E31" i="74"/>
  <c r="G31" i="74"/>
  <c r="F34" i="86"/>
  <c r="K31" i="74"/>
  <c r="K1046" i="94" s="1"/>
  <c r="J31" i="74"/>
  <c r="J1046" i="94" s="1"/>
  <c r="I60" i="68"/>
  <c r="P45" i="68" s="1"/>
  <c r="P422" i="94" s="1"/>
  <c r="F63" i="74"/>
  <c r="H31" i="74"/>
  <c r="H1046" i="94" s="1"/>
  <c r="D63" i="74"/>
  <c r="I31" i="74"/>
  <c r="I1046" i="94" s="1"/>
  <c r="D31" i="74"/>
  <c r="D1046" i="94" s="1"/>
  <c r="B31" i="74"/>
  <c r="B15" i="82" l="1"/>
  <c r="J169" i="78"/>
  <c r="J171" i="78" s="1"/>
  <c r="M618" i="94"/>
  <c r="J620" i="94"/>
  <c r="E544" i="94" s="1"/>
  <c r="J544" i="94" s="1"/>
  <c r="G32" i="74"/>
  <c r="H9" i="86" s="1"/>
  <c r="G1046" i="94"/>
  <c r="F14" i="86"/>
  <c r="E1046" i="94"/>
  <c r="B43" i="74"/>
  <c r="B1058" i="94" s="1"/>
  <c r="B1046" i="94"/>
  <c r="F29" i="86"/>
  <c r="F37" i="86" s="1"/>
  <c r="F38" i="86" s="1"/>
  <c r="F40" i="86" s="1"/>
  <c r="F44" i="86" s="1"/>
  <c r="K16" i="86" s="1"/>
  <c r="B1079" i="94"/>
  <c r="I29" i="86"/>
  <c r="E1079" i="94"/>
  <c r="G29" i="86"/>
  <c r="C1079" i="94"/>
  <c r="G34" i="86"/>
  <c r="C32" i="74"/>
  <c r="G14" i="86"/>
  <c r="I34" i="86"/>
  <c r="D14" i="86"/>
  <c r="C43" i="74"/>
  <c r="C1058" i="94" s="1"/>
  <c r="H14" i="86"/>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C54" i="86"/>
  <c r="F64" i="74"/>
  <c r="I32" i="74"/>
  <c r="C34" i="86"/>
  <c r="I14" i="86"/>
  <c r="H32" i="74"/>
  <c r="K32" i="74"/>
  <c r="E34" i="86"/>
  <c r="E14" i="86"/>
  <c r="D32" i="74"/>
  <c r="D64" i="74"/>
  <c r="H34" i="86"/>
  <c r="J32" i="74"/>
  <c r="D34" i="86"/>
  <c r="M173" i="78" l="1"/>
  <c r="J175" i="78"/>
  <c r="G1047" i="94"/>
  <c r="I37" i="86"/>
  <c r="I38" i="86" s="1"/>
  <c r="I40" i="86" s="1"/>
  <c r="I44" i="86" s="1"/>
  <c r="K19" i="86" s="1"/>
  <c r="G37" i="86"/>
  <c r="G38" i="86" s="1"/>
  <c r="G40" i="86" s="1"/>
  <c r="G44" i="86" s="1"/>
  <c r="K17" i="86" s="1"/>
  <c r="H17" i="86"/>
  <c r="H18" i="86" s="1"/>
  <c r="H20" i="86" s="1"/>
  <c r="H24" i="86" s="1"/>
  <c r="K11" i="86" s="1"/>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S33" i="74"/>
  <c r="S25" i="74"/>
  <c r="S29" i="74"/>
  <c r="S37" i="74"/>
  <c r="S21" i="74"/>
  <c r="S30" i="74"/>
  <c r="S35" i="74"/>
  <c r="F45" i="68" s="1"/>
  <c r="F422" i="94" s="1"/>
  <c r="S20" i="74"/>
  <c r="S32" i="74"/>
  <c r="S39" i="74"/>
  <c r="S24" i="74"/>
  <c r="C9" i="86"/>
  <c r="S26" i="74"/>
  <c r="S34" i="74"/>
  <c r="S31" i="74"/>
  <c r="S36" i="74"/>
  <c r="S28" i="74"/>
  <c r="S40" i="74"/>
  <c r="S22" i="74"/>
  <c r="S27" i="74"/>
  <c r="S38" i="74"/>
  <c r="E99" i="78" l="1"/>
  <c r="J99" i="78" s="1"/>
  <c r="L426" i="94"/>
  <c r="N426" i="94" s="1"/>
  <c r="C21" i="86"/>
  <c r="L427" i="94"/>
  <c r="N427" i="94" s="1"/>
  <c r="M61" i="85"/>
  <c r="P61" i="85" s="1"/>
  <c r="I9" i="66"/>
  <c r="I32" i="94" s="1"/>
  <c r="L50" i="68"/>
  <c r="N50" i="68" s="1"/>
  <c r="L49" i="68"/>
  <c r="E43" i="74"/>
  <c r="E1058" i="94" s="1"/>
  <c r="L45" i="68"/>
  <c r="L422" i="94" s="1"/>
  <c r="C17" i="86"/>
  <c r="C18" i="86" s="1"/>
  <c r="C20" i="86" s="1"/>
  <c r="C24" i="86" s="1"/>
  <c r="K6" i="86" s="1"/>
  <c r="G66" i="86" s="1"/>
  <c r="N85" i="85" s="1"/>
  <c r="N49" i="68" l="1"/>
  <c r="B14" i="82"/>
  <c r="C22" i="86"/>
  <c r="C42" i="86" s="1"/>
  <c r="D42" i="86" s="1"/>
  <c r="E42" i="86" s="1"/>
  <c r="D21" i="86"/>
  <c r="C41" i="86"/>
  <c r="D41" i="86" s="1"/>
  <c r="E41" i="86" s="1"/>
  <c r="F43" i="74"/>
  <c r="F1058" i="94" s="1"/>
  <c r="F85" i="92"/>
  <c r="F89" i="92" s="1"/>
  <c r="F105" i="92" s="1"/>
  <c r="E21" i="86" l="1"/>
  <c r="D22" i="86"/>
  <c r="B20" i="82"/>
  <c r="B21" i="82" s="1"/>
  <c r="G20" i="82"/>
  <c r="G21" i="82" s="1"/>
  <c r="G43" i="74"/>
  <c r="G1058" i="94" s="1"/>
  <c r="F21" i="86" l="1"/>
  <c r="E22" i="86"/>
  <c r="H43" i="74"/>
  <c r="H1058" i="94" s="1"/>
  <c r="G21" i="86" l="1"/>
  <c r="F22" i="86"/>
  <c r="I43" i="74"/>
  <c r="I1058" i="94" s="1"/>
  <c r="H21" i="86" l="1"/>
  <c r="G22" i="86"/>
  <c r="J43" i="74"/>
  <c r="J1058" i="94" s="1"/>
  <c r="I21" i="86" l="1"/>
  <c r="I22" i="86" s="1"/>
  <c r="H22" i="86"/>
  <c r="K43" i="74"/>
  <c r="K1058" i="94" s="1"/>
  <c r="B75" i="74" l="1"/>
  <c r="B1090" i="94" s="1"/>
  <c r="C75" i="74" l="1"/>
  <c r="C1090" i="94" s="1"/>
  <c r="D75" i="74" l="1"/>
  <c r="D1090" i="94" s="1"/>
  <c r="E75" i="74" l="1"/>
  <c r="E1090" i="94" s="1"/>
  <c r="F75" i="74" l="1"/>
  <c r="F1090" i="94" s="1"/>
  <c r="G75" i="74" l="1"/>
  <c r="G1090" i="94" s="1"/>
  <c r="H75" i="74" l="1"/>
  <c r="H1090" i="94" s="1"/>
  <c r="I75" i="74" l="1"/>
  <c r="I1090" i="94" s="1"/>
  <c r="J75" i="74" l="1"/>
  <c r="J1090" i="94" s="1"/>
  <c r="K75" i="74" l="1"/>
  <c r="K1090"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<sst xmlns="http://schemas.openxmlformats.org/spreadsheetml/2006/main" count="13853" uniqueCount="5112">
  <si>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</si>
  <si>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</si>
  <si>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</si>
  <si>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</si>
  <si>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</si>
  <si>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</si>
  <si>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</si>
  <si>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</si>
  <si>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</si>
  <si>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</si>
  <si>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</si>
  <si>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</si>
  <si>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</si>
  <si>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</si>
  <si>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</si>
  <si>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</si>
  <si>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</si>
  <si>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</si>
  <si>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</si>
  <si>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</si>
  <si>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</si>
  <si>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</si>
  <si>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</si>
  <si>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</si>
  <si>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</si>
  <si>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</si>
  <si>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</si>
  <si>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</si>
  <si>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</si>
  <si>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</si>
  <si>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</si>
  <si>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</si>
  <si>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</si>
  <si>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</si>
  <si>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</si>
  <si>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</si>
  <si>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</si>
  <si>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</si>
  <si>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</si>
  <si>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</si>
  <si>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</si>
  <si>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</si>
  <si>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</si>
  <si>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</si>
  <si>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</si>
  <si>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</si>
  <si>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</si>
  <si>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</si>
  <si>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</si>
  <si>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</si>
  <si>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</si>
  <si>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</si>
  <si>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</si>
  <si>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</si>
  <si>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</si>
  <si>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</si>
  <si>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</si>
  <si>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</si>
  <si>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</si>
  <si>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</si>
  <si>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</si>
  <si>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</si>
  <si>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</si>
  <si>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</si>
  <si>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</si>
  <si>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</si>
  <si>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</si>
  <si>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</si>
  <si>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</si>
  <si>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</si>
  <si>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</si>
  <si>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</si>
  <si>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</si>
  <si>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</si>
  <si>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</si>
  <si>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</si>
  <si>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</si>
  <si>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</si>
  <si>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</si>
  <si>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</si>
  <si>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</si>
  <si>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</si>
  <si>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</si>
  <si>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</si>
  <si>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</si>
  <si>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</si>
  <si>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</si>
  <si>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</si>
  <si>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</si>
  <si>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</si>
  <si>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</si>
  <si>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</si>
  <si>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</si>
  <si>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</si>
  <si>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</si>
  <si>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</si>
  <si>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</si>
  <si>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</si>
  <si>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</si>
  <si>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</si>
  <si>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</si>
  <si>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</si>
  <si>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</si>
  <si>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</si>
  <si>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</si>
  <si>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</si>
  <si>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</si>
  <si>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</si>
  <si>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</si>
  <si>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</si>
  <si>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</si>
  <si>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</si>
  <si>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</si>
  <si>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</si>
  <si>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</si>
  <si>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</si>
  <si>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</si>
  <si>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</si>
  <si>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</si>
  <si>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</si>
  <si>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</si>
  <si>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</si>
  <si>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</si>
  <si>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</si>
  <si>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</si>
  <si>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</si>
  <si>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</si>
  <si>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</si>
  <si>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</si>
  <si>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</si>
  <si>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</si>
  <si>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</si>
  <si>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</si>
  <si>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</si>
  <si>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</si>
  <si>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</si>
  <si>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</si>
  <si>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</si>
  <si>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</si>
  <si>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</si>
  <si>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</si>
  <si>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</si>
  <si>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</si>
  <si>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</si>
  <si>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</si>
  <si>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</si>
  <si>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</si>
  <si>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</si>
  <si>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</si>
  <si>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</si>
  <si>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</si>
  <si>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</si>
  <si>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</si>
  <si>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</si>
  <si>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</si>
  <si>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</si>
  <si>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</si>
  <si>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</si>
  <si>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</si>
  <si>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</si>
  <si>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</si>
  <si>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</si>
  <si>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</si>
  <si>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</si>
  <si>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</si>
  <si>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</si>
  <si>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</si>
  <si>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</si>
  <si>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</si>
  <si>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</si>
  <si>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</si>
  <si>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</si>
  <si>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</si>
  <si>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</si>
  <si>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</si>
  <si>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</si>
  <si>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</si>
  <si>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</si>
  <si>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</si>
  <si>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</si>
  <si>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</si>
  <si>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</si>
  <si>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</si>
  <si>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</si>
  <si>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</si>
  <si>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</si>
  <si>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</si>
  <si>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</si>
  <si>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</si>
  <si>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</si>
  <si>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</si>
  <si>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</si>
  <si>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</si>
  <si>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</si>
  <si>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</si>
  <si>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</si>
  <si>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</si>
  <si>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</si>
  <si>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</si>
  <si>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</si>
  <si>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</si>
  <si>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</si>
  <si>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</si>
  <si>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</si>
  <si>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</si>
  <si>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</si>
  <si>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</si>
  <si>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</si>
  <si>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</si>
  <si>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</si>
  <si>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</si>
  <si>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</si>
  <si>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</si>
  <si>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</si>
  <si>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</si>
  <si>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</si>
  <si>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</si>
  <si>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</si>
  <si>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</si>
  <si>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</si>
  <si>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</si>
  <si>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</si>
  <si>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</si>
  <si>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</si>
  <si>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</si>
  <si>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</si>
  <si>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</si>
  <si>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</si>
  <si>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</si>
  <si>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</si>
  <si>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</si>
  <si>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</si>
  <si>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</si>
  <si>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</si>
  <si>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</si>
  <si>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</si>
  <si>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</si>
  <si>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</si>
  <si>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</si>
  <si>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</si>
  <si>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</si>
  <si>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</si>
  <si>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</si>
  <si>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</si>
  <si>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</si>
  <si>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</si>
  <si>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</si>
  <si>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</si>
  <si>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</si>
  <si>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</si>
  <si>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</si>
  <si>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</si>
  <si>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</si>
  <si>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</si>
  <si>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</si>
  <si>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</si>
  <si>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</si>
  <si>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</si>
  <si>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</si>
  <si>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</si>
  <si>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</si>
  <si>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</si>
  <si>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</si>
  <si>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</si>
  <si>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</si>
  <si>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</si>
  <si>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</si>
  <si>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</si>
  <si>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</si>
  <si>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</si>
  <si>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</si>
  <si>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</si>
  <si>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</si>
  <si>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</si>
  <si>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</si>
  <si>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</si>
  <si>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</si>
  <si>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</si>
  <si>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</si>
  <si>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</si>
  <si>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</si>
  <si>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</si>
  <si>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</si>
  <si>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</si>
  <si>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</si>
  <si>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</si>
  <si>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</si>
  <si>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</si>
  <si>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</si>
  <si>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</si>
  <si>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</si>
  <si>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</si>
  <si>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</si>
  <si>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</si>
  <si>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</si>
  <si>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</si>
  <si>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</si>
  <si>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</si>
  <si>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</si>
  <si>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</si>
  <si>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</si>
  <si>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</si>
  <si>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</si>
  <si>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</si>
  <si>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</si>
  <si>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</si>
  <si>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</si>
  <si>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</si>
  <si>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</si>
  <si>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</si>
  <si>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</si>
  <si>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</si>
  <si>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</si>
  <si>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</si>
  <si>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</si>
  <si>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</si>
  <si>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</si>
  <si>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</si>
  <si>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</si>
  <si>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</si>
  <si>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</si>
  <si>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</si>
  <si>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</si>
  <si>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</si>
  <si>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</si>
  <si>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</si>
  <si>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</si>
  <si>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</si>
  <si>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</si>
  <si>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</si>
  <si>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</si>
  <si>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</si>
  <si>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</si>
  <si>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</si>
  <si>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</si>
  <si>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</si>
  <si>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</si>
  <si>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</si>
  <si>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</si>
  <si>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</si>
  <si>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</si>
  <si>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</si>
  <si>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</si>
  <si>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</si>
  <si>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</si>
  <si>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</si>
  <si>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</si>
  <si>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</si>
  <si>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</si>
  <si>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</si>
  <si>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</si>
  <si>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</si>
  <si>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</si>
  <si>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</si>
  <si>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</si>
  <si>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</si>
  <si>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</si>
  <si>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</si>
  <si>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</si>
  <si>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</si>
  <si>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</si>
  <si>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</si>
  <si>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</si>
  <si>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</si>
  <si>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</si>
  <si>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</si>
  <si>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</si>
  <si>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</si>
  <si>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</si>
  <si>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</si>
  <si>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</si>
  <si>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</si>
  <si>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</si>
  <si>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</si>
  <si>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</si>
  <si>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</si>
  <si>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</si>
  <si>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</si>
  <si>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</si>
  <si>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</si>
  <si>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</si>
  <si>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</si>
  <si>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</si>
  <si>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</si>
  <si>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</si>
  <si>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</si>
  <si>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</si>
  <si>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</si>
  <si>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</si>
  <si>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</si>
  <si>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</si>
  <si>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</si>
  <si>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</si>
  <si>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</si>
  <si>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</si>
  <si>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</si>
  <si>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</si>
  <si>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</si>
  <si>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</si>
  <si>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</si>
  <si>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</si>
  <si>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</si>
  <si>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</si>
  <si>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</si>
  <si>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</si>
  <si>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</si>
  <si>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</si>
  <si>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</si>
  <si>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</si>
  <si>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</si>
  <si>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</si>
  <si>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</si>
  <si>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</si>
  <si>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</si>
  <si>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</si>
  <si>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</si>
  <si>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</si>
  <si>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</si>
  <si>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</si>
  <si>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</si>
  <si>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</si>
  <si>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</si>
  <si>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</si>
  <si>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</si>
  <si>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</si>
  <si>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</si>
  <si>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</si>
  <si>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</si>
  <si>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</si>
  <si>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</si>
  <si>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</si>
  <si>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</si>
  <si>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</si>
  <si>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</si>
  <si>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</si>
  <si>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</si>
  <si>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</si>
  <si>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</si>
  <si>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</si>
  <si>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</si>
  <si>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</si>
  <si>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</si>
  <si>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</si>
  <si>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</si>
  <si>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</si>
  <si>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</si>
  <si>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</si>
  <si>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</si>
  <si>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</si>
  <si>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</si>
  <si>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</si>
  <si>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</si>
  <si>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</si>
  <si>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</si>
  <si>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</si>
  <si>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</si>
  <si>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</si>
  <si>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</si>
  <si>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</si>
  <si>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</si>
  <si>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</si>
  <si>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</si>
  <si>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</si>
  <si>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</si>
  <si>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</si>
  <si>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</si>
  <si>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</si>
  <si>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</si>
  <si>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</si>
  <si>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</si>
  <si>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</si>
  <si>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</si>
  <si>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</si>
  <si>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</si>
  <si>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</si>
  <si>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</si>
  <si>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</si>
  <si>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</si>
  <si>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</si>
  <si>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</si>
  <si>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</si>
  <si>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</si>
  <si>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</si>
  <si>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</si>
  <si>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</si>
  <si>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</si>
  <si>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</si>
  <si>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</si>
  <si>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</si>
  <si>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</si>
  <si>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</si>
  <si>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</si>
  <si>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</si>
  <si>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</si>
  <si>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</si>
  <si>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</si>
  <si>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</si>
  <si>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</si>
  <si>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</si>
  <si>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</si>
  <si>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</si>
  <si>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</si>
  <si>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</si>
  <si>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</si>
  <si>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</si>
  <si>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</si>
  <si>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</si>
  <si>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</si>
  <si>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</si>
  <si>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</si>
  <si>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</si>
  <si>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</si>
  <si>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</si>
  <si>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</si>
  <si>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</si>
  <si>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</si>
  <si>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</si>
  <si>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</si>
  <si>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</si>
  <si>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</si>
  <si>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</si>
  <si>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</si>
  <si>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</si>
  <si>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</si>
  <si>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</si>
  <si>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</si>
  <si>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</si>
  <si>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</si>
  <si>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</si>
  <si>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</si>
  <si>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</si>
  <si>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</si>
  <si>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</si>
  <si>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</si>
  <si>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</si>
  <si>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</si>
  <si>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</si>
  <si>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</si>
  <si>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</si>
  <si>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</si>
  <si>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</si>
  <si>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</si>
  <si>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</si>
  <si>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</si>
  <si>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</si>
  <si>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</si>
  <si>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</si>
  <si>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</si>
  <si>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</si>
  <si>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</si>
  <si>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</si>
  <si>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</si>
  <si>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</si>
  <si>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</si>
  <si>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</si>
  <si>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</si>
  <si>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</si>
  <si>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</si>
  <si>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</si>
  <si>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</si>
  <si>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</si>
  <si>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</si>
  <si>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</si>
  <si>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</si>
  <si>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</si>
  <si>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</si>
  <si>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</si>
  <si>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</si>
  <si>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</si>
  <si>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</si>
  <si>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</si>
  <si>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</si>
  <si>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</si>
  <si>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</si>
  <si>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</si>
  <si>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</si>
  <si>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</si>
  <si>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</si>
  <si>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</si>
  <si>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</si>
  <si>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</si>
  <si>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</si>
  <si>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</si>
  <si>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</si>
  <si>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</si>
  <si>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</si>
  <si>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</si>
  <si>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</si>
  <si>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</si>
  <si>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</si>
  <si>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</si>
  <si>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</si>
  <si>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</si>
  <si>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</si>
  <si>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</si>
  <si>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</si>
  <si>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</si>
  <si>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</si>
  <si>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</si>
  <si>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</si>
  <si>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</si>
  <si>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</si>
  <si>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</si>
  <si>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</si>
  <si>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</si>
  <si>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</si>
  <si>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</si>
  <si>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</si>
  <si>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</si>
  <si>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</si>
  <si>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</si>
  <si>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</si>
  <si>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</si>
  <si>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</si>
  <si>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</si>
  <si>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</si>
  <si>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</si>
  <si>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</si>
  <si>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</si>
  <si>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</si>
  <si>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</si>
  <si>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</si>
  <si>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</si>
  <si>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</si>
  <si>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</si>
  <si>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</si>
  <si>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</si>
  <si>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</si>
  <si>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</si>
  <si>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</si>
  <si>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</si>
  <si>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</si>
  <si>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</si>
  <si>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</si>
  <si>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</si>
  <si>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</si>
  <si>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</si>
  <si>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</si>
  <si>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</si>
  <si>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</si>
  <si>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</si>
  <si>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</si>
  <si>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</si>
  <si>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</si>
  <si>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</si>
  <si>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</si>
  <si>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</si>
  <si>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</si>
  <si>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</si>
  <si>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</si>
  <si>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</si>
  <si>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</si>
  <si>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</si>
  <si>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</si>
  <si>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</si>
  <si>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</si>
  <si>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</si>
  <si>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</si>
  <si>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</si>
  <si>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</si>
  <si>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</si>
  <si>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</si>
  <si>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</si>
  <si>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</si>
  <si>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</si>
  <si>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</si>
  <si>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</si>
  <si>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</si>
  <si>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</si>
  <si>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</si>
  <si>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</si>
  <si>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</si>
  <si>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</si>
  <si>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</si>
  <si>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</si>
  <si>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</si>
  <si>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</si>
  <si>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</si>
  <si>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</si>
  <si>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</si>
  <si>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</si>
  <si>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</si>
  <si>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</si>
  <si>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</si>
  <si>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</si>
  <si>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</si>
  <si>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</si>
  <si>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</si>
  <si>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</si>
  <si>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</si>
  <si>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</si>
  <si>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</si>
  <si>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</si>
  <si>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</si>
  <si>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</si>
  <si>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</si>
  <si>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</si>
  <si>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</si>
  <si>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</si>
  <si>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</si>
  <si>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</si>
  <si>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</si>
  <si>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</si>
  <si>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</si>
  <si>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</si>
  <si>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</si>
  <si>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</si>
  <si>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</si>
  <si>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</si>
  <si>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</si>
  <si>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</si>
  <si>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</si>
  <si>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</si>
  <si>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</si>
  <si>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</si>
  <si>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</si>
  <si>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</si>
  <si>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</si>
  <si>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</si>
  <si>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</si>
  <si>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</si>
  <si>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</si>
  <si>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</si>
  <si>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</si>
  <si>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</si>
  <si>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</si>
  <si>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</si>
  <si>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</si>
  <si>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</si>
  <si>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</si>
  <si>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</si>
  <si>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</si>
  <si>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</si>
  <si>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</si>
  <si>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</si>
  <si>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</si>
  <si>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</si>
  <si>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</si>
  <si>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</si>
  <si>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</si>
  <si>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</si>
  <si>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</si>
  <si>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</si>
  <si>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</si>
  <si>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</si>
  <si>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</si>
  <si>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</si>
  <si>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</si>
  <si>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</si>
  <si>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</si>
  <si>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</si>
  <si>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</si>
  <si>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</si>
  <si>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</si>
  <si>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</si>
  <si>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</si>
  <si>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</si>
  <si>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</si>
  <si>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</si>
  <si>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</si>
  <si>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</si>
  <si>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</si>
  <si>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</si>
  <si>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</si>
  <si>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</si>
  <si>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</si>
  <si>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</si>
  <si>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</si>
  <si>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</si>
  <si>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</si>
  <si>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</si>
  <si>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</si>
  <si>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</si>
  <si>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</si>
  <si>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</si>
  <si>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</si>
  <si>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</si>
  <si>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</si>
  <si>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</si>
  <si>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</si>
  <si>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</si>
  <si>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</si>
  <si>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</si>
  <si>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</si>
  <si>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</si>
  <si>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</si>
  <si>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</si>
  <si>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</si>
  <si>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</si>
  <si>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</si>
  <si>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</si>
  <si>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</si>
  <si>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</si>
  <si>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</si>
  <si>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</si>
  <si>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</si>
  <si>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</si>
  <si>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</si>
  <si>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</si>
  <si>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</si>
  <si>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</si>
  <si>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</si>
  <si>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</si>
  <si>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</si>
  <si>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</si>
  <si>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</si>
  <si>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</si>
  <si>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</si>
  <si>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</si>
  <si>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</si>
  <si>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</si>
  <si>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</si>
  <si>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</si>
  <si>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</si>
  <si>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</si>
  <si>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</si>
  <si>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</si>
  <si>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</si>
  <si>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</si>
  <si>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</si>
  <si>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</si>
  <si>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</si>
  <si>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</si>
  <si>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</si>
  <si>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</si>
  <si>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</si>
  <si>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</si>
  <si>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</si>
  <si>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</si>
  <si>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</si>
  <si>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</si>
  <si>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</si>
  <si>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</si>
  <si>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</si>
  <si>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</si>
  <si>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</si>
  <si>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</si>
  <si>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</si>
  <si>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</si>
  <si>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</si>
  <si>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</si>
  <si>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</si>
  <si>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</si>
  <si>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</si>
  <si>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</si>
  <si>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</si>
  <si>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</si>
  <si>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</si>
  <si>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</si>
  <si>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</si>
  <si>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</si>
  <si>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</si>
  <si>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</si>
  <si>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</si>
  <si>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</si>
  <si>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</si>
  <si>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</si>
  <si>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</si>
  <si>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</si>
  <si>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</si>
  <si>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</si>
  <si>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</si>
  <si>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</si>
  <si>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</si>
  <si>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</si>
  <si>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</si>
  <si>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</si>
  <si>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</si>
  <si>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</si>
  <si>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</si>
  <si>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</si>
  <si>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</si>
  <si>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</si>
  <si>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</si>
  <si>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</si>
  <si>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</si>
  <si>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</si>
  <si>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</si>
  <si>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</si>
  <si>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</si>
  <si>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</si>
  <si>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</si>
  <si>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</si>
  <si>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</si>
  <si>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</si>
  <si>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</si>
  <si>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</si>
  <si>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</si>
  <si>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</si>
  <si>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</si>
  <si>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</si>
  <si>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</si>
  <si>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</si>
  <si>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</si>
  <si>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</si>
  <si>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</si>
  <si>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</si>
  <si>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</si>
  <si>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</si>
  <si>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</si>
  <si>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</si>
  <si>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</si>
  <si>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</si>
  <si>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</si>
  <si>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</si>
  <si>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</si>
  <si>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</si>
  <si>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</si>
  <si>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</si>
  <si>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</si>
  <si>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</si>
  <si>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</si>
  <si>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</si>
  <si>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</si>
  <si>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</si>
  <si>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</si>
  <si>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</si>
  <si>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</si>
  <si>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</si>
  <si>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</si>
  <si>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</si>
  <si>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</si>
  <si>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</si>
  <si>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</si>
  <si>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</si>
  <si>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</si>
  <si>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</si>
  <si>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</si>
  <si>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</si>
  <si>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</si>
  <si>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</si>
  <si>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</si>
  <si>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</si>
  <si>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</si>
  <si>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</si>
  <si>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</si>
  <si>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</si>
  <si>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</si>
  <si>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</si>
  <si>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</si>
  <si>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</si>
  <si>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</si>
  <si>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</si>
  <si>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</si>
  <si>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</si>
  <si>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</si>
  <si>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</si>
  <si>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</si>
  <si>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</si>
  <si>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</si>
  <si>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</si>
  <si>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</si>
  <si>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</si>
  <si>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</si>
  <si>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</si>
  <si>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</si>
  <si>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</si>
  <si>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</si>
  <si>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</si>
  <si>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</si>
  <si>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</si>
  <si>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</si>
  <si>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</si>
  <si>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</si>
  <si>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</si>
  <si>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</si>
  <si>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</si>
  <si>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</si>
  <si>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</si>
  <si>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</si>
  <si>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</si>
  <si>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</si>
  <si>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</si>
  <si>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</si>
  <si>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</si>
  <si>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</si>
  <si>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</si>
  <si>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</si>
  <si>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</si>
  <si>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</si>
  <si>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</si>
  <si>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</si>
  <si>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</si>
  <si>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</si>
  <si>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</si>
  <si>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</si>
  <si>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</si>
  <si>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</si>
  <si>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</si>
  <si>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</si>
  <si>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</si>
  <si>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</si>
  <si>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</si>
  <si>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</si>
  <si>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</si>
  <si>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</si>
  <si>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</si>
  <si>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</si>
  <si>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</si>
  <si>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</si>
  <si>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</si>
  <si>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</si>
  <si>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</si>
  <si>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</si>
  <si>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</si>
  <si>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</si>
  <si>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</si>
  <si>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</si>
  <si>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</si>
  <si>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</si>
  <si>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</si>
  <si>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</si>
  <si>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</si>
  <si>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</si>
  <si>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</si>
  <si>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</si>
  <si>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</si>
  <si>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</si>
  <si>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</si>
  <si>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</si>
  <si>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</si>
  <si>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</si>
  <si>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</si>
  <si>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</si>
  <si>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</si>
  <si>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</si>
  <si>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</si>
  <si>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</si>
  <si>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</si>
  <si>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</si>
  <si>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</si>
  <si>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</si>
  <si>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</si>
  <si>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</si>
  <si>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</si>
  <si>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</si>
  <si>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</si>
  <si>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</si>
  <si>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</si>
  <si>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</si>
  <si>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</si>
  <si>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</si>
  <si>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</si>
  <si>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</si>
  <si>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</si>
  <si>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</si>
  <si>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</si>
  <si>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</si>
  <si>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</si>
  <si>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</si>
  <si>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</si>
  <si>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</si>
  <si>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</si>
  <si>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</si>
  <si>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</si>
  <si>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</si>
  <si>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</si>
  <si>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</si>
  <si>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</si>
  <si>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</si>
  <si>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</si>
  <si>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</si>
  <si>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</si>
  <si>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</si>
  <si>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</si>
  <si>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</si>
  <si>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</si>
  <si>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</si>
  <si>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</si>
  <si>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</si>
  <si>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</si>
  <si>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</si>
  <si>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</si>
  <si>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</si>
  <si>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</si>
  <si>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</si>
  <si>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</si>
  <si>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</si>
  <si>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</si>
  <si>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</si>
  <si>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</si>
  <si>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</si>
  <si>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</si>
  <si>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</si>
  <si>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</si>
  <si>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</si>
  <si>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</si>
  <si>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</si>
  <si>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</si>
  <si>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</si>
  <si>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</si>
  <si>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</si>
  <si>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</si>
  <si>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</si>
  <si>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</si>
  <si>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</si>
  <si>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</si>
  <si>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</si>
  <si>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</si>
  <si>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</si>
  <si>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</si>
  <si>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</si>
  <si>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</si>
  <si>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</si>
  <si>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</si>
  <si>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</si>
  <si>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</si>
  <si>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</si>
  <si>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</si>
  <si>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</si>
  <si>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</si>
  <si>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</si>
  <si>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</si>
  <si>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</si>
  <si>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</si>
  <si>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</si>
  <si>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</si>
  <si>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</si>
  <si>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</si>
  <si>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</si>
  <si>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</si>
  <si>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</si>
  <si>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</si>
  <si>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</si>
  <si>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</si>
  <si>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</si>
  <si>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</si>
  <si>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</si>
  <si>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</si>
  <si>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</si>
  <si>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</si>
  <si>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</si>
  <si>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</si>
  <si>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</si>
  <si>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</si>
  <si>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</si>
  <si>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</si>
  <si>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</si>
  <si>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</si>
  <si>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</si>
  <si>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</si>
  <si>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</si>
  <si>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</si>
  <si>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</si>
  <si>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</si>
  <si>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</si>
  <si>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</si>
  <si>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</si>
  <si>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</si>
  <si>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</si>
  <si>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</si>
  <si>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</si>
  <si>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</si>
  <si>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</si>
  <si>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</si>
  <si>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</si>
  <si>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</si>
  <si>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</si>
  <si>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</si>
  <si>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</si>
  <si>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</si>
  <si>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</si>
  <si>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</si>
  <si>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</si>
  <si>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</si>
  <si>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</si>
  <si>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</si>
  <si>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</si>
  <si>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</si>
  <si>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</si>
  <si>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</si>
  <si>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</si>
  <si>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</si>
  <si>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</si>
  <si>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</si>
  <si>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</si>
  <si>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</si>
  <si>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</si>
  <si>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</si>
  <si>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</si>
  <si>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</si>
  <si>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</si>
  <si>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</si>
  <si>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</si>
  <si>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</si>
  <si>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</si>
  <si>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</si>
  <si>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</si>
  <si>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</si>
  <si>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</si>
  <si>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</si>
  <si>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</si>
  <si>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</si>
  <si>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</si>
  <si>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</si>
  <si>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</si>
  <si>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</si>
  <si>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</si>
  <si>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</si>
  <si>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</si>
  <si>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</si>
  <si>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</si>
  <si>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</si>
  <si>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</si>
  <si>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</si>
  <si>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</si>
  <si>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</si>
  <si>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</si>
  <si>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</si>
  <si>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</si>
  <si>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</si>
  <si>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</si>
  <si>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</si>
  <si>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</si>
  <si>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</si>
  <si>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</si>
  <si>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</si>
  <si>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</si>
  <si>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</si>
  <si>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</si>
  <si>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</si>
  <si>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</si>
  <si>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</si>
  <si>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</si>
  <si>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</si>
  <si>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</si>
  <si>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</si>
  <si>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</si>
  <si>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</si>
  <si>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</si>
  <si>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</si>
  <si>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</si>
  <si>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</si>
  <si>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</si>
  <si>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</si>
  <si>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</si>
  <si>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</si>
  <si>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</si>
  <si>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</si>
  <si>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</si>
  <si>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</si>
  <si>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</si>
  <si>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</si>
  <si>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</si>
  <si>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</si>
  <si>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</si>
  <si>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</si>
  <si>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</si>
  <si>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</si>
  <si>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</si>
  <si>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</si>
  <si>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</si>
  <si>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</si>
  <si>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</si>
  <si>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</si>
  <si>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</si>
  <si>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</si>
  <si>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</si>
  <si>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</si>
  <si>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</si>
  <si>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</si>
  <si>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</si>
  <si>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</si>
  <si>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</si>
  <si>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</si>
  <si>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</si>
  <si>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</si>
  <si>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</si>
  <si>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</si>
  <si>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</si>
  <si>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</si>
  <si>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</si>
  <si>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</si>
  <si>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</si>
  <si>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</si>
  <si>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</si>
  <si>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</si>
  <si>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</si>
  <si>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</si>
  <si>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</si>
  <si>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</si>
  <si>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</si>
  <si>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</si>
  <si>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</si>
  <si>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</si>
  <si>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</si>
  <si>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</si>
  <si>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</si>
  <si>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</si>
  <si>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</si>
  <si>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</si>
  <si>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</si>
  <si>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</si>
  <si>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</si>
  <si>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</si>
  <si>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</si>
  <si>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</si>
  <si>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</si>
  <si>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</si>
  <si>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</si>
  <si>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</si>
  <si>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</si>
  <si>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</si>
  <si>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</si>
  <si>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</si>
  <si>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</si>
  <si>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</si>
  <si>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</si>
  <si>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</si>
  <si>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</si>
  <si>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</si>
  <si>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</si>
  <si>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</si>
  <si>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</si>
  <si>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</si>
  <si>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</si>
  <si>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</si>
  <si>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</si>
  <si>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</si>
  <si>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</si>
  <si>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</si>
  <si>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</si>
  <si>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</si>
  <si>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</si>
  <si>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</si>
  <si>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</si>
  <si>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</si>
  <si>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</si>
  <si>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</si>
  <si>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</si>
  <si>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</si>
  <si>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</si>
  <si>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</si>
  <si>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</si>
  <si>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</si>
  <si>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</si>
  <si>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</si>
  <si>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</si>
  <si>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</si>
  <si>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</si>
  <si>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</si>
  <si>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</si>
  <si>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</si>
  <si>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</si>
  <si>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</si>
  <si>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</si>
  <si>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</si>
  <si>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</si>
  <si>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</si>
  <si>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</si>
  <si>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</si>
  <si>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</si>
  <si>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</si>
  <si>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</si>
  <si>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</si>
  <si>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</si>
  <si>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</si>
  <si>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</si>
  <si>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</si>
  <si>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</si>
  <si>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</si>
  <si>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</si>
  <si>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</si>
  <si>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</si>
  <si>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</si>
  <si>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</si>
  <si>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</si>
  <si>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</si>
  <si>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</si>
  <si>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</si>
  <si>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</si>
  <si>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</si>
  <si>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</si>
  <si>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</si>
  <si>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</si>
  <si>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</si>
  <si>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</si>
  <si>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</si>
  <si>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</si>
  <si>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</si>
  <si>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</si>
  <si>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</si>
  <si>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</si>
  <si>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</si>
  <si>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</si>
  <si>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</si>
  <si>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</si>
  <si>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</si>
  <si>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</si>
  <si>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</si>
  <si>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</si>
  <si>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</si>
  <si>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</si>
  <si>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</si>
  <si>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</si>
  <si>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</si>
  <si>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</si>
  <si>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</si>
  <si>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</si>
  <si>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</si>
  <si>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</si>
  <si>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</si>
  <si>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</si>
  <si>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</si>
  <si>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</si>
  <si>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</si>
  <si>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</si>
  <si>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</si>
  <si>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</si>
  <si>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</si>
  <si>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</si>
  <si>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</si>
  <si>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</si>
  <si>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</si>
  <si>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</si>
  <si>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</si>
  <si>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</si>
  <si>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</si>
  <si>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</si>
  <si>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</si>
  <si>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</si>
  <si>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</si>
  <si>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</si>
  <si>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</si>
  <si>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</si>
  <si>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</si>
  <si>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</si>
  <si>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</si>
  <si>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</si>
  <si>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</si>
  <si>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</si>
  <si>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</si>
  <si>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</si>
  <si>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</si>
  <si>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</si>
  <si>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</si>
  <si>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</si>
  <si>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</si>
  <si>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</si>
  <si>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</si>
  <si>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</si>
  <si>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</si>
  <si>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</si>
  <si>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</si>
  <si>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</si>
  <si>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</si>
  <si>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</si>
  <si>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</si>
  <si>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</si>
  <si>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</si>
  <si>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</si>
  <si>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</si>
  <si>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</si>
  <si>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</si>
  <si>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</si>
  <si>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</si>
  <si>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</si>
  <si>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</si>
  <si>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</si>
  <si>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</si>
  <si>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</si>
  <si>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</si>
  <si>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</si>
  <si>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</si>
  <si>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</si>
  <si>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</si>
  <si>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</si>
  <si>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</si>
  <si>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</si>
  <si>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</si>
  <si>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</si>
  <si>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</si>
  <si>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</si>
  <si>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</si>
  <si>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</si>
  <si>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</si>
  <si>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</si>
  <si>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</si>
  <si>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</si>
  <si>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</si>
  <si>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</si>
  <si>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</si>
  <si>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</si>
  <si>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</si>
  <si>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</si>
  <si>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</si>
  <si>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</si>
  <si>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</si>
  <si>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</si>
  <si>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</si>
  <si>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</si>
  <si>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</si>
  <si>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</si>
  <si>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</si>
  <si>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</si>
  <si>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</si>
  <si>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</si>
  <si>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</si>
  <si>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</si>
  <si>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</si>
  <si>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</si>
  <si>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</si>
  <si>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</si>
  <si>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</si>
  <si>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</si>
  <si>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</si>
  <si>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</si>
  <si>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</si>
  <si>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</si>
  <si>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</si>
  <si>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</si>
  <si>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</si>
  <si>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</si>
  <si>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</si>
  <si>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</si>
  <si>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</si>
  <si>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</si>
  <si>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</si>
  <si>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</si>
  <si>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</si>
  <si>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</si>
  <si>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</si>
  <si>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</si>
  <si>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</si>
  <si>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</si>
  <si>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</si>
  <si>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</si>
  <si>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</si>
  <si>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</si>
  <si>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</si>
  <si>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</si>
  <si>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</si>
  <si>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</si>
  <si>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</si>
  <si>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</si>
  <si>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</si>
  <si>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</si>
  <si>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</si>
  <si>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</si>
  <si>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</si>
  <si>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</si>
  <si>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</si>
  <si>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</si>
  <si>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</si>
  <si>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</si>
  <si>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</si>
  <si>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</si>
  <si>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</si>
  <si>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</si>
  <si>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</si>
  <si>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</si>
  <si>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</si>
  <si>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</si>
  <si>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</si>
  <si>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</si>
  <si>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</si>
  <si>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</si>
  <si>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</si>
  <si>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</si>
  <si>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</si>
  <si>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</si>
  <si>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</si>
  <si>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</si>
  <si>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</si>
  <si>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</si>
  <si>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</si>
  <si>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</si>
  <si>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</si>
  <si>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</si>
  <si>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</si>
  <si>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</si>
  <si>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</si>
  <si>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</si>
  <si>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</si>
  <si>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</si>
  <si>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</si>
  <si>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</si>
  <si>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</si>
  <si>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</si>
  <si>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</si>
  <si>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</si>
  <si>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</si>
  <si>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</si>
  <si>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</si>
  <si>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</si>
  <si>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</si>
  <si>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</si>
  <si>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</si>
  <si>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</si>
  <si>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</si>
  <si>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</si>
  <si>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</si>
  <si>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</si>
  <si>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</si>
  <si>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</si>
  <si>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</si>
  <si>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</si>
  <si>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</si>
  <si>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</si>
  <si>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</si>
  <si>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</si>
  <si>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</si>
  <si>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</si>
  <si>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</si>
  <si>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</si>
  <si>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</si>
  <si>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</si>
  <si>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</si>
  <si>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</si>
  <si>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</si>
  <si>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</si>
  <si>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</si>
  <si>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</si>
  <si>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</si>
  <si>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</si>
  <si>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</si>
  <si>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</si>
  <si>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</si>
  <si>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</si>
  <si>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</si>
  <si>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</si>
  <si>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</si>
  <si>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</si>
  <si>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</si>
  <si>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</si>
  <si>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</si>
  <si>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</si>
  <si>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</si>
  <si>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</si>
  <si>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</si>
  <si>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</si>
  <si>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</si>
  <si>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</si>
  <si>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</si>
  <si>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</si>
  <si>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</si>
  <si>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</si>
  <si>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</si>
  <si>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</si>
  <si>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</si>
  <si>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</si>
  <si>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</si>
  <si>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</si>
  <si>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</si>
  <si>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</si>
  <si>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</si>
  <si>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</si>
  <si>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</si>
  <si>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</si>
  <si>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</si>
  <si>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</si>
  <si>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</si>
  <si>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</si>
  <si>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</si>
  <si>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</si>
  <si>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</si>
  <si>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</si>
  <si>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</si>
  <si>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</si>
  <si>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</si>
  <si>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</si>
  <si>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</si>
  <si>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</si>
  <si>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</si>
  <si>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</si>
  <si>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</si>
  <si>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</si>
  <si>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</si>
  <si>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</si>
  <si>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</si>
  <si>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</si>
  <si>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</si>
  <si>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</si>
  <si>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</si>
  <si>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</si>
  <si>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</si>
  <si>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</si>
  <si>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</si>
  <si>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</si>
  <si>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</si>
  <si>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</si>
  <si>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</si>
  <si>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</si>
  <si>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</si>
  <si>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</si>
  <si>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</si>
  <si>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</si>
  <si>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</si>
  <si>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</si>
  <si>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</si>
  <si>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</si>
  <si>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</si>
  <si>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</si>
  <si>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</si>
  <si>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</si>
  <si>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</si>
  <si>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</si>
  <si>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</si>
  <si>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</si>
  <si>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</si>
  <si>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</si>
  <si>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</si>
  <si>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</si>
  <si>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</si>
  <si>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</si>
  <si>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</si>
  <si>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</si>
  <si>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</si>
  <si>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</si>
  <si>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</si>
  <si>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</si>
  <si>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</si>
  <si>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</si>
  <si>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</si>
  <si>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</si>
  <si>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</si>
  <si>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</si>
  <si>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</si>
  <si>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</si>
  <si>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</si>
  <si>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</si>
  <si>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</si>
  <si>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</si>
  <si>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</si>
  <si>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</si>
  <si>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</si>
  <si>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</si>
  <si>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</si>
  <si>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</si>
  <si>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</si>
  <si>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</si>
  <si>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</si>
  <si>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</si>
  <si>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</si>
  <si>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</si>
  <si>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</si>
  <si>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</si>
  <si>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</si>
  <si>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</si>
  <si>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</si>
  <si>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</si>
  <si>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</si>
  <si>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</si>
  <si>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</si>
  <si>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</si>
  <si>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</si>
  <si>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</si>
  <si>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</si>
  <si>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</si>
  <si>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</si>
  <si>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</si>
  <si>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</si>
  <si>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</si>
  <si>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</si>
  <si>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</si>
  <si>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</si>
  <si>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</si>
  <si>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</si>
  <si>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</si>
  <si>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</si>
  <si>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</si>
  <si>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</si>
  <si>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</si>
  <si>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</si>
  <si>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</si>
  <si>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</si>
  <si>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</si>
  <si>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</si>
  <si>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</si>
  <si>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</si>
  <si>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</si>
  <si>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</si>
  <si>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</si>
  <si>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</si>
  <si>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</si>
  <si>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</si>
  <si>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</si>
  <si>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</si>
  <si>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</si>
  <si>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</si>
  <si>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</si>
  <si>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</si>
  <si>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</si>
  <si>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</si>
  <si>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</si>
  <si>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</si>
  <si>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</si>
  <si>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</si>
  <si>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</si>
  <si>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</si>
  <si>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</si>
  <si>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</si>
  <si>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</si>
  <si>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</si>
  <si>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</si>
  <si>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</si>
  <si>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</si>
  <si>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</si>
  <si>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</si>
  <si>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</si>
  <si>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</si>
  <si>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</si>
  <si>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</si>
  <si>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</si>
  <si>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</si>
  <si>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</si>
  <si>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</si>
  <si>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</si>
  <si>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</si>
  <si>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</si>
  <si>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</si>
  <si>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</si>
  <si>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</si>
  <si>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</si>
  <si>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</si>
  <si>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</si>
  <si>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</si>
  <si>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</si>
  <si>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</si>
  <si>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</si>
  <si>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</si>
  <si>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</si>
  <si>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</si>
  <si>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</si>
  <si>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</si>
  <si>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</si>
  <si>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</si>
  <si>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</si>
  <si>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</si>
  <si>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</si>
  <si>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</si>
  <si>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</si>
  <si>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</si>
  <si>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</si>
  <si>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</si>
  <si>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</si>
  <si>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</si>
  <si>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</si>
  <si>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</si>
  <si>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</si>
  <si>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</si>
  <si>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</si>
  <si>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</si>
  <si>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</si>
  <si>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</si>
  <si>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</si>
  <si>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</si>
  <si>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</si>
  <si>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</si>
  <si>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</si>
  <si>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</si>
  <si>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</si>
  <si>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</si>
  <si>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</si>
  <si>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</si>
  <si>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</si>
  <si>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</si>
  <si>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</si>
  <si>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</si>
  <si>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</si>
  <si>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</si>
  <si>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</si>
  <si>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</si>
  <si>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</si>
  <si>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</si>
  <si>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</si>
  <si>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</si>
  <si>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</si>
  <si>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</si>
  <si>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</si>
  <si>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</si>
  <si>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</si>
  <si>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</si>
  <si>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</si>
  <si>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</si>
  <si>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</si>
  <si>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</si>
  <si>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</si>
  <si>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</si>
  <si>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</si>
  <si>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</si>
  <si>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</si>
  <si>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</si>
  <si>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</si>
  <si>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</si>
  <si>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</si>
  <si>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</si>
  <si>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</si>
  <si>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</si>
  <si>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</si>
  <si>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</si>
  <si>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</si>
  <si>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</si>
  <si>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</si>
  <si>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</si>
  <si>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</si>
  <si>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</si>
  <si>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</si>
  <si>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</si>
  <si>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</si>
  <si>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</si>
  <si>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</si>
  <si>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</si>
  <si>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</si>
  <si>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</si>
  <si>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</si>
  <si>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</si>
  <si>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</si>
  <si>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</si>
  <si>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</si>
  <si>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</si>
  <si>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</si>
  <si>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</si>
  <si>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</si>
  <si>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</si>
  <si>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</si>
  <si>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</si>
  <si>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</si>
  <si>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</si>
  <si>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</si>
  <si>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</si>
  <si>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</si>
  <si>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</si>
  <si>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</si>
  <si>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</si>
  <si>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</si>
  <si>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</si>
  <si>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</si>
  <si>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</si>
  <si>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</si>
  <si>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</si>
  <si>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</si>
  <si>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</si>
  <si>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</si>
  <si>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</si>
  <si>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</si>
  <si>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</si>
  <si>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</si>
  <si>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</si>
  <si>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</si>
  <si>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</si>
  <si>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</si>
  <si>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</si>
  <si>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</si>
  <si>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</si>
  <si>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</si>
  <si>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</si>
  <si>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</si>
  <si>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</si>
  <si>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</si>
  <si>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</si>
  <si>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</si>
  <si>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</si>
  <si>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</si>
  <si>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</si>
  <si>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</si>
  <si>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</si>
  <si>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</si>
  <si>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</si>
  <si>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</si>
  <si>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</si>
  <si>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</si>
  <si>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</si>
  <si>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</si>
  <si>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</si>
  <si>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</si>
  <si>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</si>
  <si>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</si>
  <si>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</si>
  <si>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</si>
  <si>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</si>
  <si>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</si>
  <si>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</si>
  <si>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</si>
  <si>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</si>
  <si>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</si>
  <si>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</si>
  <si>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</si>
  <si>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</si>
  <si>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</si>
  <si>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</si>
  <si>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</si>
  <si>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</si>
  <si>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</si>
  <si>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</si>
  <si>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</si>
  <si>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</si>
  <si>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</si>
  <si>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</si>
  <si>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</si>
  <si>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</si>
  <si>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</si>
  <si>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</si>
  <si>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</si>
  <si>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</si>
  <si>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</si>
  <si>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</si>
  <si>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</si>
  <si>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</si>
  <si>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</si>
  <si>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</si>
  <si>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</si>
  <si>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</si>
  <si>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</si>
  <si>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</si>
  <si>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</si>
  <si>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</si>
  <si>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</si>
  <si>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</si>
  <si>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</si>
  <si>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</si>
  <si>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</si>
  <si>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</si>
  <si>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</si>
  <si>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</si>
  <si>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</si>
  <si>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</si>
  <si>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</si>
  <si>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</si>
  <si>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</si>
  <si>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</si>
  <si>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</si>
  <si>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</si>
  <si>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</si>
  <si>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</si>
  <si>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</si>
  <si>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</si>
  <si>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</si>
  <si>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</si>
  <si>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</si>
  <si>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</si>
  <si>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</si>
  <si>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</si>
  <si>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</si>
  <si>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</si>
  <si>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</si>
  <si>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</si>
  <si>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</si>
  <si>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</si>
  <si>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</si>
  <si>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</si>
  <si>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</si>
  <si>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</si>
  <si>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</si>
  <si>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</si>
  <si>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</si>
  <si>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</si>
  <si>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</si>
  <si>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</si>
  <si>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</si>
  <si>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</si>
  <si>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</si>
  <si>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</si>
  <si>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</si>
  <si>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</si>
  <si>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</si>
  <si>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</si>
  <si>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</si>
  <si>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</si>
  <si>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</si>
  <si>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</si>
  <si>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</si>
  <si>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</si>
  <si>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</si>
  <si>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</si>
  <si>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</si>
  <si>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</si>
  <si>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</si>
  <si>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</si>
  <si>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</si>
  <si>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</si>
  <si>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</si>
  <si>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</si>
  <si>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</si>
  <si>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</si>
  <si>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</si>
  <si>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</si>
  <si>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</si>
  <si>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</si>
  <si>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</si>
  <si>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</si>
  <si>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</si>
  <si>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</si>
  <si>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</si>
  <si>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</si>
  <si>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</si>
  <si>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</si>
  <si>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</si>
  <si>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</si>
  <si>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</si>
  <si>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</si>
  <si>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</si>
  <si>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</si>
  <si>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</si>
  <si>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</si>
  <si>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</si>
  <si>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</si>
  <si>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</si>
  <si>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</si>
  <si>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</si>
  <si>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</si>
  <si>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</si>
  <si>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</si>
  <si>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</si>
  <si>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</si>
  <si>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</si>
  <si>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</si>
  <si>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</si>
  <si>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</si>
  <si>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</si>
  <si>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</si>
  <si>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</si>
  <si>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</si>
  <si>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</si>
  <si>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</si>
  <si>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</si>
  <si>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</si>
  <si>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</si>
  <si>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</si>
  <si>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</si>
  <si>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</si>
  <si>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</si>
  <si>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</si>
  <si>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</si>
  <si>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</si>
  <si>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</si>
  <si>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</si>
  <si>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</si>
  <si>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</si>
  <si>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</si>
  <si>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</si>
  <si>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</si>
  <si>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</si>
  <si>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</si>
  <si>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</si>
  <si>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</si>
  <si>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</si>
  <si>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</si>
  <si>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</si>
  <si>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</si>
  <si>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</si>
  <si>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</si>
  <si>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</si>
  <si>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</si>
  <si>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</si>
  <si>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</si>
  <si>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</si>
  <si>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</si>
  <si>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</si>
  <si>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</si>
  <si>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</si>
  <si>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</si>
  <si>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</si>
  <si>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</si>
  <si>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</si>
  <si>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</si>
  <si>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</si>
  <si>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</si>
  <si>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</si>
  <si>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</si>
  <si>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</si>
  <si>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</si>
  <si>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</si>
  <si>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</si>
  <si>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</si>
  <si>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</si>
  <si>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</si>
  <si>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</si>
  <si>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</si>
  <si>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</si>
  <si>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</si>
  <si>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</si>
  <si>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</si>
  <si>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</si>
  <si>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</si>
  <si>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</si>
  <si>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</si>
  <si>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</si>
  <si>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</si>
  <si>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</si>
  <si>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</si>
  <si>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</si>
  <si>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</si>
  <si>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</si>
  <si>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</si>
  <si>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</si>
  <si>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</si>
  <si>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</si>
  <si>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</si>
  <si>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</si>
  <si>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</si>
  <si>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</si>
  <si>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</si>
  <si>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</si>
  <si>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</si>
  <si>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</si>
  <si>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</si>
  <si>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</si>
  <si>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</si>
  <si>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</si>
  <si>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</si>
  <si>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</si>
  <si>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</si>
  <si>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</si>
  <si>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</si>
  <si>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</si>
  <si>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</si>
  <si>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</si>
  <si>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</si>
  <si>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</si>
  <si>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</si>
  <si>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</si>
  <si>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</si>
  <si>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</si>
  <si>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</si>
  <si>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</si>
  <si>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</si>
  <si>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</si>
  <si>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</si>
  <si>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</si>
  <si>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</si>
  <si>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</si>
  <si>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</si>
  <si>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</si>
  <si>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</si>
  <si>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</si>
  <si>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</si>
  <si>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</si>
  <si>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</si>
  <si>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</si>
  <si>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</si>
  <si>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</si>
  <si>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</si>
  <si>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</si>
  <si>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</si>
  <si>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</si>
  <si>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</si>
  <si>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</si>
  <si>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</si>
  <si>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</si>
  <si>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</si>
  <si>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</si>
  <si>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</si>
  <si>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</si>
  <si>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</si>
  <si>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</si>
  <si>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</si>
  <si>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</si>
  <si>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</si>
  <si>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</si>
  <si>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</si>
  <si>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</si>
  <si>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</si>
  <si>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</si>
  <si>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</si>
  <si>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</si>
  <si>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</si>
  <si>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</si>
  <si>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</si>
  <si>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</si>
  <si>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</si>
  <si>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</si>
  <si>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</si>
  <si>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</si>
  <si>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</si>
  <si>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</si>
  <si>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</si>
  <si>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</si>
  <si>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</si>
  <si>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</si>
  <si>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</si>
  <si>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</si>
  <si>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</si>
  <si>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</si>
  <si>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</si>
  <si>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</si>
  <si>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</si>
  <si>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</si>
  <si>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</si>
  <si>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</si>
  <si>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</si>
  <si>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</si>
  <si>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</si>
  <si>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</si>
  <si>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</si>
  <si>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</si>
  <si>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</si>
  <si>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</si>
  <si>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</si>
  <si>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</si>
  <si>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</si>
  <si>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</si>
  <si>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</si>
  <si>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</si>
  <si>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</si>
  <si>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</si>
  <si>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</si>
  <si>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</si>
  <si>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</si>
  <si>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</si>
  <si>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</si>
  <si>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</si>
  <si>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</si>
  <si>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</si>
  <si>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</si>
  <si>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</si>
  <si>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</si>
  <si>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</si>
  <si>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</si>
  <si>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</si>
  <si>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</si>
  <si>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</si>
  <si>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</si>
  <si>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</si>
  <si>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</si>
  <si>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</si>
  <si>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</si>
  <si>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</si>
  <si>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</si>
  <si>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</si>
  <si>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</si>
  <si>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</si>
  <si>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</si>
  <si>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</si>
  <si>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</si>
  <si>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</si>
  <si>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</si>
  <si>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</si>
  <si>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</si>
  <si>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</si>
  <si>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</si>
  <si>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</si>
  <si>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</si>
  <si>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</si>
  <si>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</si>
  <si>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</si>
  <si>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</si>
  <si>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</si>
  <si>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</si>
  <si>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</si>
  <si>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</si>
  <si>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</si>
  <si>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</si>
  <si>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</si>
  <si>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</si>
  <si>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</si>
  <si>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</si>
  <si>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</si>
  <si>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</si>
  <si>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</si>
  <si>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</si>
  <si>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</si>
  <si>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</si>
  <si>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</si>
  <si>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</si>
  <si>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</si>
  <si>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</si>
  <si>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</si>
  <si>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</si>
  <si>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</si>
  <si>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</si>
  <si>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</si>
  <si>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</si>
  <si>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</si>
  <si>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</si>
  <si>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</si>
  <si>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</si>
  <si>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</si>
  <si>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</si>
  <si>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</si>
  <si>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</si>
  <si>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</si>
  <si>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</si>
  <si>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</si>
  <si>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</si>
  <si>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</si>
  <si>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</si>
  <si>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</si>
  <si>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</si>
  <si>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</si>
  <si>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</si>
  <si>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</si>
  <si>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</si>
  <si>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</si>
  <si>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</si>
  <si>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</si>
  <si>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</si>
  <si>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</si>
  <si>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</si>
  <si>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</si>
  <si>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</si>
  <si>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</si>
  <si>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</si>
  <si>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</si>
  <si>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</si>
  <si>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</si>
  <si>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</si>
  <si>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</si>
  <si>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</si>
  <si>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</si>
  <si>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</si>
  <si>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</si>
  <si>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</si>
  <si>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</si>
  <si>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</si>
  <si>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</si>
  <si>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</si>
  <si>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</si>
  <si>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</si>
  <si>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</si>
  <si>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</si>
  <si>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</si>
  <si>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</si>
  <si>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</si>
  <si>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</si>
  <si>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</si>
  <si>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</si>
  <si>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</si>
  <si>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</si>
  <si>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</si>
  <si>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</si>
  <si>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</si>
  <si>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</si>
  <si>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</si>
  <si>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</si>
  <si>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</si>
  <si>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</si>
  <si>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</si>
  <si>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</si>
  <si>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</si>
  <si>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</si>
  <si>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</si>
  <si>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</si>
  <si>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</si>
  <si>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</si>
  <si>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</si>
  <si>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</si>
  <si>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</si>
  <si>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</si>
  <si>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</si>
  <si>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</si>
  <si>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</si>
  <si>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</si>
  <si>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</si>
  <si>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</si>
  <si>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</si>
  <si>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</si>
  <si>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</si>
  <si>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</si>
  <si>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</si>
  <si>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</si>
  <si>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</si>
  <si>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</si>
  <si>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</si>
  <si>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</si>
  <si>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</si>
  <si>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</si>
  <si>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</si>
  <si>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</si>
  <si>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</si>
  <si>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</si>
  <si>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</si>
  <si>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</si>
  <si>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</si>
  <si>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</si>
  <si>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</si>
  <si>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</si>
  <si>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</si>
  <si>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</si>
  <si>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</si>
  <si>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</si>
  <si>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</si>
  <si>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</si>
  <si>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</si>
  <si>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</si>
  <si>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</si>
  <si>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</si>
  <si>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</si>
  <si>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</si>
  <si>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</si>
  <si>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</si>
  <si>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</si>
  <si>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</si>
  <si>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</si>
  <si>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</si>
  <si>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</si>
  <si>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</si>
  <si>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</si>
  <si>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</si>
  <si>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</si>
  <si>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</si>
  <si>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</si>
  <si>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</si>
  <si>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</si>
  <si>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</si>
  <si>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</si>
  <si>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</si>
  <si>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</si>
  <si>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</si>
  <si>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</si>
  <si>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</si>
  <si>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</si>
  <si>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</si>
  <si>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</si>
  <si>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</si>
  <si>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</si>
  <si>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</si>
  <si>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</si>
  <si>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</si>
  <si>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</si>
  <si>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</si>
  <si>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</si>
  <si>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</si>
  <si>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</si>
  <si>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</si>
  <si>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</si>
  <si>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</si>
  <si>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</si>
  <si>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</si>
  <si>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</si>
  <si>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</si>
  <si>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</si>
  <si>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</si>
  <si>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</si>
  <si>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</si>
  <si>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</si>
  <si>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</si>
  <si>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</si>
  <si>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</si>
  <si>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</si>
  <si>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</si>
  <si>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</si>
  <si>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</si>
  <si>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</si>
  <si>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</si>
  <si>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</si>
  <si>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</si>
  <si>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</si>
  <si>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</si>
  <si>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</si>
  <si>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</si>
  <si>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</si>
  <si>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</si>
  <si>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</si>
  <si>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</si>
  <si>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</si>
  <si>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</si>
  <si>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</si>
  <si>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</si>
  <si>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</si>
  <si>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</si>
  <si>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</si>
  <si>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</si>
  <si>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</si>
  <si>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</si>
  <si>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</si>
  <si>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</si>
  <si>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</si>
  <si>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</si>
  <si>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</si>
  <si>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</si>
  <si>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</si>
  <si>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</si>
  <si>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</si>
  <si>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</si>
  <si>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</si>
  <si>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</si>
  <si>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</si>
  <si>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</si>
  <si>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</si>
  <si>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</si>
  <si>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</si>
  <si>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</si>
  <si>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</si>
  <si>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</si>
  <si>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</si>
  <si>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</si>
  <si>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</si>
  <si>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</si>
  <si>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</si>
  <si>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</si>
  <si>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</si>
  <si>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</si>
  <si>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</si>
  <si>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</si>
  <si>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</si>
  <si>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</si>
  <si>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</si>
  <si>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</si>
  <si>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</si>
  <si>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</si>
  <si>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</si>
  <si>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</si>
  <si>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</si>
  <si>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</si>
  <si>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</si>
  <si>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</si>
  <si>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</si>
  <si>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</si>
  <si>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</si>
  <si>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</si>
  <si>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</si>
  <si>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</si>
  <si>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</si>
  <si>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</si>
  <si>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</si>
  <si>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</si>
  <si>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</si>
  <si>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</si>
  <si>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</si>
  <si>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</si>
  <si>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</si>
  <si>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</si>
  <si>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</si>
  <si>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</si>
  <si>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</si>
  <si>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</si>
  <si>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</si>
  <si>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</si>
  <si>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</si>
  <si>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</si>
  <si>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</si>
  <si>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</si>
  <si>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</si>
  <si>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</si>
  <si>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</si>
  <si>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</si>
  <si>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</si>
  <si>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</si>
  <si>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</si>
  <si>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</si>
  <si>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</si>
  <si>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</si>
  <si>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</si>
  <si>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</si>
  <si>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</si>
  <si>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</si>
  <si>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</si>
  <si>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</si>
  <si>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</si>
  <si>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</si>
  <si>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</si>
  <si>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</si>
  <si>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</si>
  <si>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</si>
  <si>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</si>
  <si>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</si>
  <si>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</si>
  <si>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</si>
  <si>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</si>
  <si>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</si>
  <si>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</si>
  <si>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</si>
  <si>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</si>
  <si>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</si>
  <si>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</si>
  <si>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</si>
  <si>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</si>
  <si>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</si>
  <si>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</si>
  <si>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</si>
  <si>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</si>
  <si>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</si>
  <si>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</si>
  <si>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</si>
  <si>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</si>
  <si>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</si>
  <si>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</si>
  <si>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</si>
  <si>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</si>
  <si>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</si>
  <si>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</si>
  <si>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</si>
  <si>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</si>
  <si>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</si>
  <si>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</si>
  <si>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</si>
  <si>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</si>
  <si>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</si>
  <si>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</si>
  <si>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</si>
  <si>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</si>
  <si>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</si>
  <si>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</si>
  <si>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</si>
  <si>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</si>
  <si>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</si>
  <si>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</si>
  <si>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</si>
  <si>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</si>
  <si>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</si>
  <si>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</si>
  <si>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</si>
  <si>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</si>
  <si>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</si>
  <si>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</si>
  <si>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</si>
  <si>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</si>
  <si>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</si>
  <si>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</si>
  <si>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</si>
  <si>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</si>
  <si>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</si>
  <si>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</si>
  <si>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</si>
  <si>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</si>
  <si>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</si>
  <si>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</si>
  <si>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</si>
  <si>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</si>
  <si>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</si>
  <si>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</si>
  <si>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</si>
  <si>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</si>
  <si>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</si>
  <si>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</si>
  <si>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</si>
  <si>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</si>
  <si>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</si>
  <si>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</si>
  <si>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</si>
  <si>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</si>
  <si>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</si>
  <si>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</si>
  <si>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</si>
  <si>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</si>
  <si>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</si>
  <si>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</si>
  <si>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</si>
  <si>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</si>
  <si>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</si>
  <si>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</si>
  <si>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</si>
  <si>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</si>
  <si>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</si>
  <si>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</si>
  <si>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</si>
  <si>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</si>
  <si>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</si>
  <si>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</si>
  <si>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</si>
  <si>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</si>
  <si>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</si>
  <si>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</si>
  <si>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</si>
  <si>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</si>
  <si>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</si>
  <si>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</si>
  <si>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</si>
  <si>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</si>
  <si>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</si>
  <si>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</si>
  <si>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</si>
  <si>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</si>
  <si>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</si>
  <si>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</si>
  <si>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</si>
  <si>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</si>
  <si>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</si>
  <si>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</si>
  <si>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</si>
  <si>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</si>
  <si>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</si>
  <si>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</si>
  <si>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</si>
  <si>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</si>
  <si>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</si>
  <si>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</si>
  <si>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</si>
  <si>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</si>
  <si>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</si>
  <si>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</si>
  <si>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</si>
  <si>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</si>
  <si>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</si>
  <si>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</si>
  <si>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</si>
  <si>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</si>
  <si>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</si>
  <si>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</si>
  <si>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</si>
  <si>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</si>
  <si>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</si>
  <si>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</si>
  <si>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</si>
  <si>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</si>
  <si>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</si>
  <si>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</si>
  <si>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</si>
  <si>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</si>
  <si>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</si>
  <si>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</si>
  <si>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</si>
  <si>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</si>
  <si>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</si>
  <si>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</si>
  <si>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</si>
  <si>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</si>
  <si>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</si>
  <si>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</si>
  <si>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</si>
  <si>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</si>
  <si>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</si>
  <si>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</si>
  <si>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</si>
  <si>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</si>
  <si>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</si>
  <si>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</si>
  <si>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</si>
  <si>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</si>
  <si>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</si>
  <si>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</si>
  <si>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</si>
  <si>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</si>
  <si>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</si>
  <si>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</si>
  <si>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</si>
  <si>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</si>
  <si>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</si>
  <si>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</si>
  <si>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</si>
  <si>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</si>
  <si>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</si>
  <si>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</si>
  <si>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</si>
  <si>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</si>
  <si>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</si>
  <si>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</si>
  <si>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</si>
  <si>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</si>
  <si>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</si>
  <si>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</si>
  <si>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</si>
  <si>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</si>
  <si>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</si>
  <si>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</si>
  <si>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</si>
  <si>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</si>
  <si>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</si>
  <si>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</si>
  <si>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</si>
  <si>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</si>
  <si>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</si>
  <si>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</si>
  <si>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</si>
  <si>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</si>
  <si>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</si>
  <si>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</si>
  <si>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</si>
  <si>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</si>
  <si>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</si>
  <si>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</si>
  <si>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</si>
  <si>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</si>
  <si>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</si>
  <si>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</si>
  <si>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</si>
  <si>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</si>
  <si>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</si>
  <si>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</si>
  <si>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</si>
  <si>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</si>
  <si>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</si>
  <si>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</si>
  <si>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</si>
  <si>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</si>
  <si>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</si>
  <si>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</si>
  <si>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</si>
  <si>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</si>
  <si>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</si>
  <si>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</si>
  <si>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</si>
  <si>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</si>
  <si>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</si>
  <si>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</si>
  <si>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</si>
  <si>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</si>
  <si>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</si>
  <si>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</si>
  <si>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</si>
  <si>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</si>
  <si>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</si>
  <si>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</si>
  <si>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</si>
  <si>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</si>
  <si>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</si>
  <si>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</si>
  <si>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</si>
  <si>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</si>
  <si>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</si>
  <si>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</si>
  <si>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</si>
  <si>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</si>
  <si>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</si>
  <si>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</si>
  <si>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</si>
  <si>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</si>
  <si>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</si>
  <si>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</si>
  <si>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</si>
  <si>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</si>
  <si>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</si>
  <si>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</si>
  <si>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</si>
  <si>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</si>
  <si>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</si>
  <si>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</si>
  <si>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</si>
  <si>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</si>
  <si>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</si>
  <si>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</si>
  <si>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</si>
  <si>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</si>
  <si>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</si>
  <si>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</si>
  <si>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</si>
  <si>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</si>
  <si>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</si>
  <si>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</si>
  <si>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</si>
  <si>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</si>
  <si>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</si>
  <si>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</si>
  <si>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</si>
  <si>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</si>
  <si>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</si>
  <si>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</si>
  <si>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</si>
  <si>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</si>
  <si>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</si>
  <si>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</si>
  <si>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</si>
  <si>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</si>
  <si>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</si>
  <si>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</si>
  <si>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</si>
  <si>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</si>
  <si>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</si>
  <si>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</si>
  <si>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</si>
  <si>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</si>
  <si>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</si>
  <si>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</si>
  <si>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</si>
  <si>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</si>
  <si>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</si>
  <si>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</si>
  <si>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</si>
  <si>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</si>
  <si>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</si>
  <si>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</si>
  <si>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</si>
  <si>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</si>
  <si>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</si>
  <si>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</si>
  <si>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</si>
  <si>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</si>
  <si>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</si>
  <si>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</si>
  <si>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</si>
  <si>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</si>
  <si>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</si>
  <si>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</si>
  <si>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</si>
  <si>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</si>
  <si>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</si>
  <si>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</si>
  <si>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</si>
  <si>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</si>
  <si>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</si>
  <si>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</si>
  <si>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</si>
  <si>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</si>
  <si>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</si>
  <si>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</si>
  <si>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</si>
  <si>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</si>
  <si>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</si>
  <si>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</si>
  <si>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</si>
  <si>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</si>
  <si>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</si>
  <si>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</si>
  <si>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</si>
  <si>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</si>
  <si>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</si>
  <si>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</si>
  <si>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</si>
  <si>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</si>
  <si>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</si>
  <si>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</si>
  <si>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</si>
  <si>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</si>
  <si>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</si>
  <si>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</si>
  <si>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</si>
  <si>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</si>
  <si>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</si>
  <si>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</si>
  <si>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</si>
  <si>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</si>
  <si>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</si>
  <si>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</si>
  <si>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</si>
  <si>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</si>
  <si>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</si>
  <si>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</si>
  <si>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</si>
  <si>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</si>
  <si>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</si>
  <si>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</si>
  <si>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</si>
  <si>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</si>
  <si>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</si>
  <si>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</si>
  <si>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</si>
  <si>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</si>
  <si>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</si>
  <si>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</si>
  <si>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</si>
  <si>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</si>
  <si>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</si>
  <si>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</si>
  <si>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</si>
  <si>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</si>
  <si>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</si>
  <si>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</si>
  <si>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</si>
  <si>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</si>
  <si>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</si>
  <si>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</si>
  <si>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</si>
  <si>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</si>
  <si>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</si>
  <si>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</si>
  <si>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</si>
  <si>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</si>
  <si>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</si>
  <si>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</si>
  <si>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</si>
  <si>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</si>
  <si>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</si>
  <si>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</si>
  <si>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</si>
  <si>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</si>
  <si>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</si>
  <si>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</si>
  <si>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</si>
  <si>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</si>
  <si>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</si>
  <si>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</si>
  <si>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</si>
  <si>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</si>
  <si>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</si>
  <si>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</si>
  <si>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</si>
  <si>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</si>
  <si>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</si>
  <si>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</si>
  <si>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</si>
  <si>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</si>
  <si>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</si>
  <si>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</si>
  <si>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</si>
  <si>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</si>
  <si>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</si>
  <si>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</si>
  <si>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</si>
  <si>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</si>
  <si>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</si>
  <si>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</si>
  <si>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</si>
  <si>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</si>
  <si>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</si>
  <si>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</si>
  <si>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</si>
  <si>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</si>
  <si>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</si>
  <si>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</si>
  <si>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</si>
  <si>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</si>
  <si>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</si>
  <si>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</si>
  <si>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</si>
  <si>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</si>
  <si>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</si>
  <si>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</si>
  <si>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</si>
  <si>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</si>
  <si>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</si>
  <si>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</si>
  <si>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</si>
  <si>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</si>
  <si>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</si>
  <si>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</si>
  <si>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</si>
  <si>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</si>
  <si>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</si>
  <si>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</si>
  <si>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</si>
  <si>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</si>
  <si>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</si>
  <si>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</si>
  <si>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</si>
  <si>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</si>
  <si>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</si>
  <si>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</si>
  <si>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</si>
  <si>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</si>
  <si>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</si>
  <si>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</si>
  <si>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</si>
  <si>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</si>
  <si>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</si>
  <si>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</si>
  <si>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</si>
  <si>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</si>
  <si>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</si>
  <si>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</si>
  <si>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</si>
  <si>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</si>
  <si>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</si>
  <si>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</si>
  <si>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</si>
  <si>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</si>
  <si>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</si>
  <si>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</si>
  <si>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</si>
  <si>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</si>
  <si>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</si>
  <si>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</si>
  <si>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</si>
  <si>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</si>
  <si>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</si>
  <si>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</si>
  <si>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</si>
  <si>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</si>
  <si>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</si>
  <si>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</si>
  <si>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</si>
  <si>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</si>
  <si>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</si>
  <si>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</si>
  <si>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</si>
  <si>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</si>
  <si>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</si>
  <si>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</si>
  <si>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</si>
  <si>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</si>
  <si>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</si>
  <si>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</si>
  <si>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</si>
  <si>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</si>
  <si>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</si>
  <si>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</si>
  <si>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</si>
  <si>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</si>
  <si>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</si>
  <si>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</si>
  <si>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</si>
  <si>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</si>
  <si>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</si>
  <si>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</si>
  <si>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</si>
  <si>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</si>
  <si>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</si>
  <si>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</si>
  <si>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</si>
  <si>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</si>
  <si>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</si>
  <si>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</si>
  <si>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</si>
  <si>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</si>
  <si>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</si>
  <si>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</si>
  <si>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</si>
  <si>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</si>
  <si>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</si>
  <si>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</si>
  <si>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</si>
  <si>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</si>
  <si>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</si>
  <si>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</si>
  <si>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</si>
  <si>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</si>
  <si>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</si>
  <si>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</si>
  <si>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</si>
  <si>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</si>
  <si>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</si>
  <si>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</si>
  <si>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</si>
  <si>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</si>
  <si>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</si>
  <si>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</si>
  <si>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</si>
  <si>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</si>
  <si>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</si>
  <si>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</si>
  <si>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</si>
  <si>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</si>
  <si>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</si>
  <si>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</si>
  <si>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</si>
  <si>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</si>
  <si>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</si>
  <si>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</si>
  <si>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</si>
  <si>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</si>
  <si>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</si>
  <si>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</si>
  <si>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</si>
  <si>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</si>
  <si>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</si>
  <si>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</si>
  <si>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</si>
  <si>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</si>
  <si>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</si>
  <si>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</si>
  <si>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</si>
  <si>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</si>
  <si>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</si>
  <si>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</si>
  <si>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</si>
  <si>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</si>
  <si>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</si>
  <si>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</si>
  <si>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</si>
  <si>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</si>
  <si>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</si>
  <si>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</si>
  <si>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</si>
  <si>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</si>
  <si>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</si>
  <si>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</si>
  <si>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</si>
  <si>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</si>
  <si>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</si>
  <si>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</si>
  <si>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</si>
  <si>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</si>
  <si>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</si>
  <si>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</si>
  <si>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</si>
  <si>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</si>
  <si>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</si>
  <si>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</si>
  <si>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</si>
  <si>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</si>
  <si>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</si>
  <si>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</si>
  <si>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</si>
  <si>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</si>
  <si>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</si>
  <si>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</si>
  <si>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</si>
  <si>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</si>
  <si>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</si>
  <si>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</si>
  <si>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</si>
  <si>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</si>
  <si>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</si>
  <si>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</si>
  <si>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</si>
  <si>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</si>
  <si>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</si>
  <si>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</si>
  <si>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</si>
  <si>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</si>
  <si>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</si>
  <si>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</si>
  <si>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</si>
  <si>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</si>
  <si>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</si>
  <si>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</si>
  <si>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</si>
  <si>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</si>
  <si>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</si>
  <si>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</si>
  <si>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</si>
  <si>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</si>
  <si>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</si>
  <si>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</si>
  <si>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</si>
  <si>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</si>
  <si>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</si>
  <si>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</si>
  <si>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</si>
  <si>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</si>
  <si>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</si>
  <si>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</si>
  <si>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</si>
  <si>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</si>
  <si>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</si>
  <si>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</si>
  <si>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</si>
  <si>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</si>
  <si>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</si>
  <si>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</si>
  <si>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</si>
  <si>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</si>
  <si>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</si>
  <si>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</si>
  <si>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</si>
  <si>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</si>
  <si>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</si>
  <si>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</si>
  <si>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</si>
  <si>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</si>
  <si>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</si>
  <si>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</si>
  <si>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</si>
  <si>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</si>
  <si>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</si>
  <si>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</si>
  <si>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</si>
  <si>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</si>
  <si>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</si>
  <si>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</si>
  <si>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</si>
  <si>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</si>
  <si>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</si>
  <si>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</si>
  <si>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</si>
  <si>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</si>
  <si>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</si>
  <si>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</si>
  <si>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</si>
  <si>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</si>
  <si>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</si>
  <si>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</si>
  <si>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</si>
  <si>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</si>
  <si>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</si>
  <si>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</si>
  <si>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</si>
  <si>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</si>
  <si>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</si>
  <si>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</si>
  <si>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</si>
  <si>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</si>
  <si>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</si>
  <si>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</si>
  <si>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</si>
  <si>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</si>
  <si>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</si>
  <si>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</si>
  <si>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</si>
  <si>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</si>
  <si>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</si>
  <si>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</si>
  <si>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</si>
  <si>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</si>
  <si>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</si>
  <si>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</si>
  <si>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</si>
  <si>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</si>
  <si>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</si>
  <si>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</si>
  <si>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</si>
  <si>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</si>
  <si>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</si>
  <si>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</si>
  <si>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</si>
  <si>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</si>
  <si>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</si>
  <si>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</si>
  <si>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</si>
  <si>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</si>
  <si>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</si>
  <si>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</si>
  <si>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</si>
  <si>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</si>
  <si>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</si>
  <si>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</si>
  <si>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</si>
  <si>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</si>
  <si>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</si>
  <si>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</si>
  <si>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</si>
  <si>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</si>
  <si>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</si>
  <si>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</si>
  <si>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</si>
  <si>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</si>
  <si>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</si>
  <si>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</si>
  <si>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</si>
  <si>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</si>
  <si>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</si>
  <si>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</si>
  <si>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</si>
  <si>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</si>
  <si>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</si>
  <si>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</si>
  <si>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</si>
  <si>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</si>
  <si>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</si>
  <si>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</si>
  <si>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</si>
  <si>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</si>
  <si>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</si>
  <si>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</si>
  <si>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</si>
  <si>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</si>
  <si>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</si>
  <si>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</si>
  <si>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</si>
  <si>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</si>
  <si>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</si>
  <si>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</si>
  <si>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</si>
  <si>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</si>
  <si>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</si>
  <si>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</si>
  <si>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</si>
  <si>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</si>
  <si>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</si>
  <si>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</si>
  <si>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</si>
  <si>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</si>
  <si>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</si>
  <si>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</si>
  <si>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</si>
  <si>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</si>
  <si>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</si>
  <si>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</si>
  <si>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</si>
  <si>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</si>
  <si>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</si>
  <si>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</si>
  <si>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</si>
  <si>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</si>
  <si>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</si>
  <si>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</si>
  <si>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</si>
  <si>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</si>
  <si>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</si>
  <si>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</si>
  <si>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</si>
  <si>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</si>
  <si>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</si>
  <si>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</si>
  <si>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</si>
  <si>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</si>
  <si>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</si>
  <si>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</si>
  <si>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</si>
  <si>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</si>
  <si>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</si>
  <si>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</si>
  <si>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</si>
  <si>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</si>
  <si>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</si>
  <si>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</si>
  <si>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</si>
  <si>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</si>
  <si>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</si>
  <si>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</si>
  <si>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</si>
  <si>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</si>
  <si>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</si>
  <si>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</si>
  <si>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</si>
  <si>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</si>
  <si>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</si>
  <si>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</si>
  <si>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</si>
  <si>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</si>
  <si>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</si>
  <si>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</si>
  <si>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</si>
  <si>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</si>
  <si>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</si>
  <si>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</si>
  <si>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</si>
  <si>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</si>
  <si>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</si>
  <si>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</si>
  <si>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</si>
  <si>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</si>
  <si>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</si>
  <si>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</si>
  <si>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</si>
  <si>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</si>
  <si>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</si>
  <si>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</si>
  <si>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</si>
  <si>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</si>
  <si>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</si>
  <si>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</si>
  <si>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</si>
  <si>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</si>
  <si>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</si>
  <si>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</si>
  <si>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</si>
  <si>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</si>
  <si>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</si>
  <si>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</si>
  <si>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</si>
  <si>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</si>
  <si>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</si>
  <si>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</si>
  <si>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</si>
  <si>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</si>
  <si>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</si>
  <si>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</si>
  <si>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</si>
  <si>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</si>
  <si>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</si>
  <si>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</si>
  <si>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</si>
  <si>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</si>
  <si>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</si>
  <si>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</si>
  <si>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</si>
  <si>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</si>
  <si>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A &amp; B.</t>
  </si>
  <si>
    <t>Mixed-Income Developments in Stable Communities</t>
  </si>
  <si>
    <t>Total Units:</t>
  </si>
  <si>
    <t>Mkt Pct of Total:</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</si>
  <si>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</si>
  <si>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</si>
  <si>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</si>
  <si>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</si>
  <si>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Georgia Initiative for Community Housing (GICH)</t>
  </si>
  <si>
    <t>NOTE:  If more than one letter is issued by a GICH community, no project in that community shall be awarded this point.</t>
  </si>
  <si>
    <t>Evans County</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</si>
  <si>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</si>
  <si>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</si>
  <si>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</si>
  <si>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</si>
  <si>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</si>
  <si>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</si>
  <si>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</si>
  <si>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</si>
  <si>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</si>
  <si>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</si>
  <si>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</si>
  <si>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</si>
  <si>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</si>
  <si>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</si>
  <si>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</si>
  <si>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</si>
  <si>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</si>
  <si>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</si>
  <si>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</si>
  <si>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</si>
  <si>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</si>
  <si>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</si>
  <si>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</si>
  <si>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</si>
  <si>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</si>
  <si>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</si>
  <si>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</si>
  <si>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</si>
  <si>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</si>
  <si>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</si>
  <si>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</si>
  <si>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</si>
  <si>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</si>
  <si>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</si>
  <si>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</si>
  <si>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</si>
  <si>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</si>
  <si>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</si>
  <si>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</si>
  <si>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</si>
  <si>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</si>
  <si>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</si>
  <si>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</si>
  <si>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</si>
  <si>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</si>
  <si>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</si>
  <si>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</si>
  <si>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</si>
  <si>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</si>
  <si>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</si>
  <si>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</si>
  <si>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</si>
  <si>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</si>
  <si>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</si>
  <si>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</si>
  <si>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</si>
  <si>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</si>
  <si>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</si>
  <si>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</si>
  <si>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</si>
  <si>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</si>
  <si>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</si>
  <si>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</si>
  <si>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</si>
  <si>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</si>
  <si>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</si>
  <si>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</si>
  <si>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</si>
  <si>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</si>
  <si>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</si>
  <si>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</si>
  <si>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</si>
  <si>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</si>
  <si>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</si>
  <si>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</si>
  <si>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</si>
  <si>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</si>
  <si>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</si>
  <si>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</si>
  <si>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</si>
  <si>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</si>
  <si>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</si>
  <si>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</si>
  <si>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</si>
  <si>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</si>
  <si>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</si>
  <si>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</si>
  <si>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</si>
  <si>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</si>
  <si>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</si>
  <si>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</si>
  <si>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</si>
  <si>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</si>
  <si>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</si>
  <si>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</si>
  <si>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</si>
  <si>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</si>
  <si>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</si>
  <si>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</si>
  <si>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</si>
  <si>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</si>
  <si>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</si>
  <si>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</si>
  <si>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</si>
  <si>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</si>
  <si>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</si>
  <si>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</si>
  <si>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</si>
  <si>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</si>
  <si>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</si>
  <si>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</si>
  <si>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</si>
  <si>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</si>
  <si>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</si>
  <si>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</si>
  <si>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</si>
  <si>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</si>
  <si>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</si>
  <si>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</si>
  <si>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</si>
  <si>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</si>
  <si>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</si>
  <si>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</si>
  <si>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</si>
  <si>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</si>
  <si>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</si>
  <si>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</si>
  <si>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</si>
  <si>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</si>
  <si>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</si>
  <si>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</si>
  <si>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</si>
  <si>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</si>
  <si>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</si>
  <si>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</si>
  <si>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</si>
  <si>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</si>
  <si>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</si>
  <si>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</si>
  <si>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</si>
  <si>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</si>
  <si>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</si>
  <si>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</si>
  <si>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</si>
  <si>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</si>
  <si>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</si>
  <si>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</si>
  <si>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</si>
  <si>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</si>
  <si>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</si>
  <si>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</si>
  <si>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</si>
  <si>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</si>
  <si>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</si>
  <si>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</si>
  <si>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</si>
  <si>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</si>
  <si>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</si>
  <si>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</si>
  <si>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</si>
  <si>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</si>
  <si>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</si>
  <si>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</si>
  <si>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</si>
  <si>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</si>
  <si>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</si>
  <si>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</si>
  <si>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</si>
  <si>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School Level</t>
  </si>
  <si>
    <t>Average
CCRPI Score</t>
  </si>
  <si>
    <t>Charter School?</t>
  </si>
  <si>
    <r>
      <t xml:space="preserve">School Name </t>
    </r>
    <r>
      <rPr>
        <sz val="7"/>
        <rFont val="Arial Narrow"/>
        <family val="2"/>
      </rPr>
      <t>(from state CCRPI website)</t>
    </r>
  </si>
  <si>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</si>
  <si>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</si>
  <si>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</si>
  <si>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</si>
  <si>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</si>
  <si>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</si>
  <si>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</si>
  <si>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</si>
  <si>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</si>
  <si>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</si>
  <si>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</si>
  <si>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</si>
  <si>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</si>
  <si>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</si>
  <si>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</si>
  <si>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</si>
  <si>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</si>
  <si>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</si>
  <si>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</si>
  <si>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</si>
  <si>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</si>
  <si>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 xml:space="preserve">If 'Yes", has there been any change in the status of any project included in the CHS form? </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</si>
  <si>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</si>
  <si>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</si>
  <si>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</si>
  <si>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</si>
  <si>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</si>
  <si>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</si>
  <si>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</si>
  <si>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</si>
  <si>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</si>
  <si>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</si>
  <si>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</si>
  <si>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</si>
  <si>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</si>
  <si>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</si>
  <si>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</si>
  <si>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</si>
  <si>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</si>
  <si>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</si>
  <si>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</si>
  <si>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</si>
  <si>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</si>
  <si>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</si>
  <si>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</si>
  <si>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</si>
  <si>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</si>
  <si>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</si>
  <si>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</si>
  <si>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</si>
  <si>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</si>
  <si>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</si>
  <si>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</si>
  <si>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</si>
  <si>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</si>
  <si>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TDC Cost Limit Area:</t>
  </si>
  <si>
    <t>Rural HOME Preservation</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</si>
  <si>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</si>
  <si>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</si>
  <si>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</si>
  <si>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</si>
  <si>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</si>
  <si>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</si>
  <si>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</si>
  <si>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</si>
  <si>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</si>
  <si>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</si>
  <si>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</si>
  <si>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</si>
  <si>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</si>
  <si>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</si>
  <si>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</si>
  <si>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</si>
  <si>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ELIGIBILITY FOR CREDIT UNDER THE RURAL HOME PRESERVATION SET ASIDE</t>
  </si>
  <si>
    <t>DCA Project Nbr:</t>
  </si>
  <si>
    <t xml:space="preserve">Requirements </t>
  </si>
  <si>
    <t>Placed-In-Service Date for previous DCA project listed above:</t>
  </si>
  <si>
    <t>The property is in a(n)</t>
  </si>
  <si>
    <t>area.</t>
  </si>
  <si>
    <t>Applicant is appying for</t>
  </si>
  <si>
    <t>in 9% Credits?</t>
  </si>
  <si>
    <t>Developer Fee calculation for the set aside:</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</si>
  <si>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</si>
  <si>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</si>
  <si>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</si>
  <si>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</si>
  <si>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</si>
  <si>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</si>
  <si>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</si>
  <si>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</si>
  <si>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</si>
  <si>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</si>
  <si>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</si>
  <si>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</si>
  <si>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</si>
  <si>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</si>
  <si>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</si>
  <si>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</si>
  <si>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</si>
  <si>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</si>
  <si>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</si>
  <si>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</si>
  <si>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</si>
  <si>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</si>
  <si>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</si>
  <si>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</si>
  <si>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</si>
  <si>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</si>
  <si>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</si>
  <si>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</si>
  <si>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</si>
  <si>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</si>
  <si>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</si>
  <si>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</si>
  <si>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</si>
  <si>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</si>
  <si>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</si>
  <si>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</si>
  <si>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</si>
  <si>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</si>
  <si>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</si>
  <si>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</si>
  <si>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</si>
  <si>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</si>
  <si>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</si>
  <si>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</si>
  <si>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</si>
  <si>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</si>
  <si>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</si>
  <si>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</si>
  <si>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</si>
  <si>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</si>
  <si>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</si>
  <si>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</si>
  <si>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</si>
  <si>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</si>
  <si>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</si>
  <si>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</si>
  <si>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</si>
  <si>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</si>
  <si>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</si>
  <si>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</si>
  <si>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</si>
  <si>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</si>
  <si>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</si>
  <si>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</si>
  <si>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</si>
  <si>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</si>
  <si>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</si>
  <si>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</si>
  <si>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</si>
  <si>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Qualified Census Tract/Revitalization Plan</t>
  </si>
  <si>
    <t>REVITALIZATION/REDEVELOPMENT PLANS</t>
  </si>
  <si>
    <t>COMMUNITY TRANSFORMATION</t>
  </si>
  <si>
    <t>Eligibility:</t>
  </si>
  <si>
    <t>d)  Only one Applicant selected from this community?</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</si>
  <si>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</si>
  <si>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</si>
  <si>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</si>
  <si>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</si>
  <si>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</si>
  <si>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</si>
  <si>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</si>
  <si>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</si>
  <si>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</si>
  <si>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</si>
  <si>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</si>
  <si>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</si>
  <si>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</si>
  <si>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</si>
  <si>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</si>
  <si>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</si>
  <si>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</si>
  <si>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</si>
  <si>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</si>
  <si>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</si>
  <si>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</si>
  <si>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</si>
  <si>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</si>
  <si>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</si>
  <si>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</si>
  <si>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</si>
  <si>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</si>
  <si>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</si>
  <si>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</si>
  <si>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</si>
  <si>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</si>
  <si>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</si>
  <si>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</si>
  <si>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</si>
  <si>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</si>
  <si>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</si>
  <si>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</si>
  <si>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</si>
  <si>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</si>
  <si>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</si>
  <si>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</si>
  <si>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</si>
  <si>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</si>
  <si>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</si>
  <si>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</si>
  <si>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</si>
  <si>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</si>
  <si>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</si>
  <si>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</si>
  <si>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</si>
  <si>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</si>
  <si>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</si>
  <si>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</si>
  <si>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</si>
  <si>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</si>
  <si>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</si>
  <si>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</si>
  <si>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</si>
  <si>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</si>
  <si>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</si>
  <si>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</si>
  <si>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</si>
  <si>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</si>
  <si>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</si>
  <si>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</si>
  <si>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</si>
  <si>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</si>
  <si>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</si>
  <si>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</si>
  <si>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</si>
  <si>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</si>
  <si>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</si>
  <si>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</si>
  <si>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</si>
  <si>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</si>
  <si>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</si>
  <si>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</si>
  <si>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</si>
  <si>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</si>
  <si>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</si>
  <si>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</si>
  <si>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</si>
  <si>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</si>
  <si>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</si>
  <si>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r>
      <t xml:space="preserve">Eligibility - </t>
    </r>
    <r>
      <rPr>
        <sz val="9"/>
        <rFont val="Arial"/>
        <family val="2"/>
      </rPr>
      <t xml:space="preserve">The Plan </t>
    </r>
  </si>
  <si>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</si>
  <si>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</si>
  <si>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</si>
  <si>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Development Name</t>
  </si>
  <si>
    <t>City &amp; County</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</si>
  <si>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</si>
  <si>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</si>
  <si>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</si>
  <si>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</si>
  <si>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</si>
  <si>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</si>
  <si>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</si>
  <si>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</si>
  <si>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</si>
  <si>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Priority Point</t>
  </si>
  <si>
    <t>DCA Community Initiatives</t>
  </si>
  <si>
    <t>Favorable Financing</t>
  </si>
  <si>
    <t>Historic Preservation</t>
  </si>
  <si>
    <t>• Median number of ER visits in the last year</t>
  </si>
  <si>
    <t>• % of residents enrolled in Medicare and/or Medicaid</t>
  </si>
  <si>
    <t>• Other: Describe here</t>
  </si>
  <si>
    <t>DCA's Comments</t>
  </si>
  <si>
    <t>Middle / Jr High (6-8)</t>
  </si>
  <si>
    <t>Minimum jobs threshold met?</t>
  </si>
  <si>
    <t>Rural Area</t>
  </si>
  <si>
    <t>Investment or Funding Mechanism</t>
  </si>
  <si>
    <t>Investment’s Furtherance of Plan</t>
  </si>
  <si>
    <t>Please provide Description of:</t>
  </si>
  <si>
    <t>Applicant Scoring Justification (partial)</t>
  </si>
  <si>
    <t>Self Score</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</si>
  <si>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</si>
  <si>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</si>
  <si>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</si>
  <si>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</si>
  <si>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</si>
  <si>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</si>
  <si>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</si>
  <si>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</si>
  <si>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</si>
  <si>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</si>
  <si>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</si>
  <si>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</si>
  <si>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</si>
  <si>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</si>
  <si>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</si>
  <si>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</si>
  <si>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</si>
  <si>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</si>
  <si>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</si>
  <si>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</si>
  <si>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</si>
  <si>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</si>
  <si>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</si>
  <si>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</si>
  <si>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</si>
  <si>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</si>
  <si>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</si>
  <si>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</si>
  <si>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</si>
  <si>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</si>
  <si>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</si>
  <si>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</si>
  <si>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</si>
  <si>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</si>
  <si>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</si>
  <si>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</si>
  <si>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</si>
  <si>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</si>
  <si>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</si>
  <si>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</si>
  <si>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</si>
  <si>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</si>
  <si>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</si>
  <si>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</si>
  <si>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</si>
  <si>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</si>
  <si>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</si>
  <si>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</si>
  <si>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</si>
  <si>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</si>
  <si>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</si>
  <si>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</si>
  <si>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</si>
  <si>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</si>
  <si>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</si>
  <si>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</si>
  <si>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</si>
  <si>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</si>
  <si>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</si>
  <si>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</si>
  <si>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</si>
  <si>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</si>
  <si>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</si>
  <si>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</si>
  <si>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</si>
  <si>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</si>
  <si>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</si>
  <si>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</si>
  <si>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</si>
  <si>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</si>
  <si>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</si>
  <si>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</si>
  <si>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</si>
  <si>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</si>
  <si>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</si>
  <si>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</si>
  <si>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</si>
  <si>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</si>
  <si>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</si>
  <si>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</si>
  <si>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</si>
  <si>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</si>
  <si>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</si>
  <si>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</si>
  <si>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</si>
  <si>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</si>
  <si>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</si>
  <si>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</si>
  <si>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</si>
  <si>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</si>
  <si>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</si>
  <si>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</si>
  <si>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</si>
  <si>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</si>
  <si>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</si>
  <si>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</si>
  <si>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</si>
  <si>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</si>
  <si>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</si>
  <si>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</si>
  <si>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</si>
  <si>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</si>
  <si>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</si>
  <si>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</si>
  <si>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</si>
  <si>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</si>
  <si>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</si>
  <si>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</si>
  <si>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</si>
  <si>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</si>
  <si>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</si>
  <si>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</si>
  <si>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</si>
  <si>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</si>
  <si>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</si>
  <si>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</si>
  <si>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</si>
  <si>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</si>
  <si>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</si>
  <si>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</si>
  <si>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</si>
  <si>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</si>
  <si>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</si>
  <si>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</si>
  <si>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</si>
  <si>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</si>
  <si>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</si>
  <si>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</si>
  <si>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</si>
  <si>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</si>
  <si>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</si>
  <si>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</si>
  <si>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</si>
  <si>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</si>
  <si>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</si>
  <si>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</si>
  <si>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</si>
  <si>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</si>
  <si>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</si>
  <si>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</si>
  <si>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</si>
  <si>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</si>
  <si>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</si>
  <si>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</si>
  <si>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</si>
  <si>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</si>
  <si>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</si>
  <si>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</si>
  <si>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</si>
  <si>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</si>
  <si>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</si>
  <si>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</si>
  <si>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</si>
  <si>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</si>
  <si>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</si>
  <si>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</si>
  <si>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</si>
  <si>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</si>
  <si>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</si>
  <si>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</si>
  <si>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</si>
  <si>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</si>
  <si>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</si>
  <si>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</si>
  <si>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</si>
  <si>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</si>
  <si>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</si>
  <si>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</si>
  <si>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</si>
  <si>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</si>
  <si>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</si>
  <si>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</si>
  <si>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</si>
  <si>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</si>
  <si>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</si>
  <si>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</si>
  <si>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</si>
  <si>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</si>
  <si>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</si>
  <si>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</si>
  <si>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</si>
  <si>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</si>
  <si>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</si>
  <si>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</si>
  <si>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</si>
  <si>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</si>
  <si>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</si>
  <si>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</si>
  <si>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</si>
  <si>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</si>
  <si>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</si>
  <si>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</si>
  <si>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</si>
  <si>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</si>
  <si>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</si>
  <si>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</si>
  <si>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</si>
  <si>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</si>
  <si>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</si>
  <si>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</si>
  <si>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</si>
  <si>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</si>
  <si>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</si>
  <si>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</si>
  <si>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</si>
  <si>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</si>
  <si>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</si>
  <si>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</si>
  <si>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</si>
  <si>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</si>
  <si>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</si>
  <si>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</si>
  <si>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</si>
  <si>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</si>
  <si>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</si>
  <si>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</si>
  <si>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</si>
  <si>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</si>
  <si>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</si>
  <si>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</si>
  <si>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</si>
  <si>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</si>
  <si>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</si>
  <si>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</si>
  <si>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</si>
  <si>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</si>
  <si>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</si>
  <si>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</si>
  <si>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</si>
  <si>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</si>
  <si>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</si>
  <si>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</si>
  <si>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</si>
  <si>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</si>
  <si>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</si>
  <si>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</si>
  <si>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</si>
  <si>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</si>
  <si>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</si>
  <si>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</si>
  <si>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</si>
  <si>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</si>
  <si>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</si>
  <si>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</si>
  <si>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</si>
  <si>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</si>
  <si>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</si>
  <si>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</si>
  <si>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</si>
  <si>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</si>
  <si>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</si>
  <si>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</si>
  <si>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</si>
  <si>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</si>
  <si>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</si>
  <si>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</si>
  <si>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</si>
  <si>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</si>
  <si>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</si>
  <si>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</si>
  <si>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</si>
  <si>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</si>
  <si>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</si>
  <si>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</si>
  <si>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</si>
  <si>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</si>
  <si>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</si>
  <si>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</si>
  <si>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</si>
  <si>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</si>
  <si>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</si>
  <si>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</si>
  <si>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</si>
  <si>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</si>
  <si>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</si>
  <si>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</si>
  <si>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</si>
  <si>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</si>
  <si>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</si>
  <si>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</si>
  <si>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</si>
  <si>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</si>
  <si>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</si>
  <si>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</si>
  <si>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</si>
  <si>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</si>
  <si>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</si>
  <si>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</si>
  <si>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</si>
  <si>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</si>
  <si>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</si>
  <si>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</si>
  <si>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</si>
  <si>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</si>
  <si>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</si>
  <si>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</si>
  <si>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</si>
  <si>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</si>
  <si>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</si>
  <si>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</si>
  <si>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</si>
  <si>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</si>
  <si>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</si>
  <si>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</si>
  <si>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</si>
  <si>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</si>
  <si>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</si>
  <si>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</si>
  <si>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</si>
  <si>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</si>
  <si>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</si>
  <si>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</si>
  <si>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</si>
  <si>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</si>
  <si>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</si>
  <si>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</si>
  <si>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</si>
  <si>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</si>
  <si>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</si>
  <si>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</si>
  <si>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</si>
  <si>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</si>
  <si>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</si>
  <si>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</si>
  <si>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</si>
  <si>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</si>
  <si>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</si>
  <si>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</si>
  <si>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</si>
  <si>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</si>
  <si>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</si>
  <si>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</si>
  <si>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</si>
  <si>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</si>
  <si>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</si>
  <si>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</si>
  <si>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</si>
  <si>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</si>
  <si>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</si>
  <si>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</si>
  <si>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</si>
  <si>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</si>
  <si>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</si>
  <si>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</si>
  <si>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</si>
  <si>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</si>
  <si>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</si>
  <si>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</si>
  <si>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</si>
  <si>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</si>
  <si>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</si>
  <si>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</si>
  <si>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</si>
  <si>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</si>
  <si>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</si>
  <si>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</si>
  <si>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</si>
  <si>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</si>
  <si>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</si>
  <si>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</si>
  <si>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</si>
  <si>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</si>
  <si>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</si>
  <si>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</si>
  <si>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</si>
  <si>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</si>
  <si>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</si>
  <si>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</si>
  <si>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</si>
  <si>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</si>
  <si>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</si>
  <si>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</si>
  <si>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</si>
  <si>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</si>
  <si>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</si>
  <si>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</si>
  <si>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</si>
  <si>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</si>
  <si>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</si>
  <si>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</si>
  <si>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</si>
  <si>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</si>
  <si>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</si>
  <si>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</si>
  <si>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</si>
  <si>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</si>
  <si>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</si>
  <si>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</si>
  <si>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</si>
  <si>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</si>
  <si>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</si>
  <si>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</si>
  <si>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</si>
  <si>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</si>
  <si>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</si>
  <si>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</si>
  <si>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</si>
  <si>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</si>
  <si>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</si>
  <si>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</si>
  <si>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</si>
  <si>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</si>
  <si>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</si>
  <si>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</si>
  <si>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</si>
  <si>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</si>
  <si>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</si>
  <si>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</si>
  <si>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</si>
  <si>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</si>
  <si>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</si>
  <si>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</si>
  <si>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</si>
  <si>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</si>
  <si>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</si>
  <si>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</si>
  <si>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</si>
  <si>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</si>
  <si>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</si>
  <si>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</si>
  <si>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</si>
  <si>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</si>
  <si>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</si>
  <si>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</si>
  <si>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</si>
  <si>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</si>
  <si>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</si>
  <si>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</si>
  <si>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</si>
  <si>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</si>
  <si>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</si>
  <si>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</si>
  <si>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</si>
  <si>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</si>
  <si>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</si>
  <si>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</si>
  <si>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</si>
  <si>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</si>
  <si>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</si>
  <si>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</si>
  <si>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</si>
  <si>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</si>
  <si>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</si>
  <si>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</si>
  <si>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</si>
  <si>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</si>
  <si>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</si>
  <si>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</si>
  <si>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</si>
  <si>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</si>
  <si>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</si>
  <si>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</si>
  <si>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</si>
  <si>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</si>
  <si>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</si>
  <si>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</si>
  <si>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</si>
  <si>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</si>
  <si>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</si>
  <si>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</si>
  <si>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</si>
  <si>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</si>
  <si>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</si>
  <si>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</si>
  <si>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</si>
  <si>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</si>
  <si>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</si>
  <si>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</si>
  <si>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</si>
  <si>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</si>
  <si>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</si>
  <si>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</si>
  <si>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</si>
  <si>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</si>
  <si>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</si>
  <si>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</si>
  <si>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</si>
  <si>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</si>
  <si>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</si>
  <si>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</si>
  <si>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</si>
  <si>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</si>
  <si>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</si>
  <si>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</si>
  <si>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</si>
  <si>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</si>
  <si>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</si>
  <si>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</si>
  <si>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</si>
  <si>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</si>
  <si>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</si>
  <si>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</si>
  <si>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</si>
  <si>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</si>
  <si>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</si>
  <si>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</si>
  <si>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</si>
  <si>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</si>
  <si>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</si>
  <si>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</si>
  <si>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</si>
  <si>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</si>
  <si>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</si>
  <si>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</si>
  <si>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</si>
  <si>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</si>
  <si>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</si>
  <si>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</si>
  <si>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</si>
  <si>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</si>
  <si>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</si>
  <si>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</si>
  <si>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</si>
  <si>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</si>
  <si>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</si>
  <si>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</si>
  <si>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</si>
  <si>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</si>
  <si>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</si>
  <si>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</si>
  <si>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</si>
  <si>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</si>
  <si>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</si>
  <si>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</si>
  <si>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</si>
  <si>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</si>
  <si>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</si>
  <si>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</si>
  <si>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</si>
  <si>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</si>
  <si>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</si>
  <si>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</si>
  <si>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</si>
  <si>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</si>
  <si>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</si>
  <si>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</si>
  <si>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</si>
  <si>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</si>
  <si>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</si>
  <si>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</si>
  <si>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</si>
  <si>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</si>
  <si>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</si>
  <si>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</si>
  <si>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</si>
  <si>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</si>
  <si>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</si>
  <si>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</si>
  <si>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</si>
  <si>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</si>
  <si>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</si>
  <si>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</si>
  <si>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</si>
  <si>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</si>
  <si>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</si>
  <si>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</si>
  <si>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</si>
  <si>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</si>
  <si>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</si>
  <si>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</si>
  <si>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</si>
  <si>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</si>
  <si>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</si>
  <si>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</si>
  <si>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</si>
  <si>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</si>
  <si>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</si>
  <si>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</si>
  <si>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</si>
  <si>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</si>
  <si>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</si>
  <si>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</si>
  <si>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</si>
  <si>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</si>
  <si>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</si>
  <si>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</si>
  <si>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</si>
  <si>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</si>
  <si>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</si>
  <si>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</si>
  <si>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</si>
  <si>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</si>
  <si>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</si>
  <si>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</si>
  <si>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</si>
  <si>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</si>
  <si>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</si>
  <si>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</si>
  <si>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</si>
  <si>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</si>
  <si>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</si>
  <si>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</si>
  <si>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</si>
  <si>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</si>
  <si>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</si>
  <si>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</si>
  <si>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</si>
  <si>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</si>
  <si>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</si>
  <si>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</si>
  <si>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</si>
  <si>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</si>
  <si>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</si>
  <si>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</si>
  <si>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</si>
  <si>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</si>
  <si>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</si>
  <si>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</si>
  <si>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</si>
  <si>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</si>
  <si>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</si>
  <si>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</si>
  <si>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</si>
  <si>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</si>
  <si>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</si>
  <si>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</si>
  <si>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</si>
  <si>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</si>
  <si>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</si>
  <si>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</si>
  <si>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</si>
  <si>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</si>
  <si>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</si>
  <si>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</si>
  <si>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</si>
  <si>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</si>
  <si>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</si>
  <si>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</si>
  <si>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</si>
  <si>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</si>
  <si>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</si>
  <si>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</si>
  <si>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</si>
  <si>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</si>
  <si>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</si>
  <si>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</si>
  <si>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</si>
  <si>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</si>
  <si>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</si>
  <si>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</si>
  <si>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</si>
  <si>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</si>
  <si>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</si>
  <si>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</si>
  <si>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</si>
  <si>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</si>
  <si>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</si>
  <si>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</si>
  <si>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</si>
  <si>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</si>
  <si>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</si>
  <si>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</si>
  <si>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</si>
  <si>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</si>
  <si>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</si>
  <si>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</si>
  <si>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</si>
  <si>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</si>
  <si>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</si>
  <si>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</si>
  <si>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</si>
  <si>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</si>
  <si>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</si>
  <si>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</si>
  <si>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</si>
  <si>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</si>
  <si>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</si>
  <si>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</si>
  <si>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</si>
  <si>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</si>
  <si>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</si>
  <si>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</si>
  <si>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</si>
  <si>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</si>
  <si>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</si>
  <si>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</si>
  <si>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</si>
  <si>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</si>
  <si>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</si>
  <si>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</si>
  <si>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</si>
  <si>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</si>
  <si>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</si>
  <si>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</si>
  <si>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</si>
  <si>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</si>
  <si>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</si>
  <si>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</si>
  <si>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</si>
  <si>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</si>
  <si>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</si>
  <si>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</si>
  <si>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</si>
  <si>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</si>
  <si>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</si>
  <si>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</si>
  <si>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</si>
  <si>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</si>
  <si>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</si>
  <si>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</si>
  <si>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</si>
  <si>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</si>
  <si>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</si>
  <si>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</si>
  <si>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</si>
  <si>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</si>
  <si>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</si>
  <si>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</si>
  <si>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</si>
  <si>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</si>
  <si>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</si>
  <si>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</si>
  <si>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</si>
  <si>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</si>
  <si>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</si>
  <si>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</si>
  <si>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</si>
  <si>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</si>
  <si>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</si>
  <si>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</si>
  <si>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</si>
  <si>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</si>
  <si>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</si>
  <si>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</si>
  <si>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</si>
  <si>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</si>
  <si>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</si>
  <si>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</si>
  <si>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</si>
  <si>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</si>
  <si>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</si>
  <si>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(Select an Application Type)</t>
  </si>
  <si>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</si>
  <si>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</si>
  <si>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</si>
  <si>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</si>
  <si>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</si>
  <si>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</si>
  <si>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</si>
  <si>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</si>
  <si>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</si>
  <si>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</si>
  <si>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</si>
  <si>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</si>
  <si>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</si>
  <si>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</si>
  <si>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</si>
  <si>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</si>
  <si>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</si>
  <si>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</si>
  <si>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</si>
  <si>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</si>
  <si>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</si>
  <si>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</si>
  <si>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</si>
  <si>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</si>
  <si>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</si>
  <si>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</si>
  <si>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</si>
  <si>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</si>
  <si>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</si>
  <si>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</si>
  <si>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</si>
  <si>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</si>
  <si>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</si>
  <si>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</si>
  <si>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</si>
  <si>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</si>
  <si>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</si>
  <si>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</si>
  <si>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</si>
  <si>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</si>
  <si>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</si>
  <si>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</si>
  <si>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</si>
  <si>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</si>
  <si>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</si>
  <si>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</si>
  <si>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</si>
  <si>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</si>
  <si>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</si>
  <si>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</si>
  <si>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</si>
  <si>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</si>
  <si>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</si>
  <si>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</si>
  <si>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</si>
  <si>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</si>
  <si>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</si>
  <si>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</si>
  <si>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</si>
  <si>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</si>
  <si>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</si>
  <si>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</si>
  <si>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</si>
  <si>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</si>
  <si>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</si>
  <si>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</si>
  <si>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</si>
  <si>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</si>
  <si>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</si>
  <si>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</si>
  <si>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</si>
  <si>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</si>
  <si>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</si>
  <si>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</si>
  <si>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</si>
  <si>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</si>
  <si>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</si>
  <si>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</si>
  <si>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</si>
  <si>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</si>
  <si>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</si>
  <si>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</si>
  <si>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</si>
  <si>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</si>
  <si>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</si>
  <si>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</si>
  <si>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</si>
  <si>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</si>
  <si>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</si>
  <si>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</si>
  <si>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</si>
  <si>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</si>
  <si>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</si>
  <si>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</si>
  <si>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</si>
  <si>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</si>
  <si>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</si>
  <si>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May 2019</t>
  </si>
  <si>
    <t>2019PA-035</t>
  </si>
  <si>
    <t>675 Ponce de Leon Avenue, Suite 8500</t>
  </si>
  <si>
    <t xml:space="preserve">amartin@pennrose.com </t>
  </si>
  <si>
    <t>Amon Martin</t>
  </si>
  <si>
    <t>Senior Developer</t>
  </si>
  <si>
    <t>Pennrose LLC</t>
  </si>
  <si>
    <t>Haven at South Atlanta</t>
  </si>
  <si>
    <t>57 Hardwick Street SE</t>
  </si>
  <si>
    <t>Within City Limits</t>
  </si>
  <si>
    <t>0067.00</t>
  </si>
  <si>
    <t>Mayor</t>
  </si>
  <si>
    <t>www.atlantaga.gov</t>
  </si>
  <si>
    <t>Keisha Lance Bottoms</t>
  </si>
  <si>
    <t>communications@atlantaga.gov</t>
  </si>
  <si>
    <t>55 Trinity Avenue</t>
  </si>
  <si>
    <t>40% of Units at 60% of AMI</t>
  </si>
  <si>
    <t xml:space="preserve">The Haven at South Atlanta project is an 84-unit mixed-income multifamily 9% LIHTC (2019) application.  Pennrose, LLC is partnering with Focused Community Strategies (FCS), an Atlanta based non-profit to develop the project.   This mixed-income community will provide much needed affordable multifamily housing to a community that is minutes from downtown Atlanta and numerous other job centers and amenities.  
Focused Community Strategies (FCS) is a 501C(3) organization that empowers neighborhoods to thrive.   FCS has been partnering with under-resourced Atlanta neighborhoods for forty years starting with Grant Park, and then Ormewood Park, Summerhill, and East Lake.  For the past sixteen years, FCS has invested in the Historic South Atlanta neighborhood to create a flourishing community through mixed-income housing, economic development, neighborhood engagement, training and consulting.   Since its founding in 1978, FCS has established a national reputation as a multi-faceted community development organization that creates healthy, 
sustainable, and restorative communities.  In 2001, FCS began a partnership with residents of Historic South Atlanta neighborhood.  Together with Historic South Atlanta’s 1,922 residents, FCS has transformed abandoned houses into beautiful homes, opened a “neighborhood” grocery store (Carver Market) in a former food desert, and provided numerous services and other opportunities to the residents of the neighborhood. 
The site is located in southeast Atlanta, 10 minutes from downtown.  FCS has acquired lots adjacent to Price Middle School, which is in the Atlanta Public Schools (APS) Carver Cluster.  The proposed project would consist of the new construction of 1, 2, and 3-bedroom units. FCS has developed over 150 mixed-income housing in the Historic South Atlanta neighborhood, all single-family rental or for-sale, with 25% of all homes in the neighborhood owned by low-income residents.   FCS has developed a “neighborhood” market – Carver Market and Community Grounds Coffee Shop, both of which offer retail space and jobs to residents in the neighborhood.   FCS also provides, through partnerships with other organizations, training &amp; support for local entrepreneurs and targeted socials services.   Historic South Atlanta is one of the only examples around the Atlanta Beltline of a stable and equitable neighborhood.  FCS is currently planning potential expansion of its current headquarters, located at Carver Market, as well as additional retail/commercial development opportunities within the neighborhood.  
The proposed project type would be garden apartments to include Market, 60% and 50% AMI units.  The units will include full appliances to include washers and dryers.  The project will include all the amenities of comparable new market rate properties being developed in the City of Atlanta.  There will be a separate clubhouse with amenities to include, but not limited to business center, club room, fitness room and staff offices.  FCS has already established great working relationships with partners, who have helped “transform” the Historic South Atlanta neighborhood.   These partners include, but are not limited to – AHA, City of Atlanta, Invest Atlanta, YMCA, Purpose Built Schools, and Purpose Built Communities.  </t>
  </si>
  <si>
    <t>Haven SA LLC</t>
  </si>
  <si>
    <t>Mark H. Dambly</t>
  </si>
  <si>
    <t>President, Managing Mbr</t>
  </si>
  <si>
    <t>230 Wyoming Avenue</t>
  </si>
  <si>
    <t>For Profit</t>
  </si>
  <si>
    <t xml:space="preserve">mdambly@pennrose.com </t>
  </si>
  <si>
    <t>Haven SA MM LLC</t>
  </si>
  <si>
    <t xml:space="preserve">www.pennrose.com </t>
  </si>
  <si>
    <t>mdambly@pennrose.com</t>
  </si>
  <si>
    <t>Kington</t>
  </si>
  <si>
    <t>RBC Capital Markets</t>
  </si>
  <si>
    <t>200 Vesey Street, 9th Floor</t>
  </si>
  <si>
    <t>New York</t>
  </si>
  <si>
    <t>www.rbccm.com</t>
  </si>
  <si>
    <t xml:space="preserve">christopher.tully@rbccm.com </t>
  </si>
  <si>
    <t>Christopher Tully</t>
  </si>
  <si>
    <t>Vice President</t>
  </si>
  <si>
    <t>1301 N. 31st Street</t>
  </si>
  <si>
    <t>Philadelphia</t>
  </si>
  <si>
    <t>www.pennrose.com</t>
  </si>
  <si>
    <t>President</t>
  </si>
  <si>
    <t>Green Sustainable Solutions, d/b/a Beechwood Residential</t>
  </si>
  <si>
    <t>2346 Dogwood Avenue</t>
  </si>
  <si>
    <t>Baton Rouge</t>
  </si>
  <si>
    <t>www.beechwoodres.com</t>
  </si>
  <si>
    <t>wgreen@beechwoodres.com</t>
  </si>
  <si>
    <t>Wendy Green Daniels</t>
  </si>
  <si>
    <t>Capstone Building Corp</t>
  </si>
  <si>
    <t>3415 Independence Drive</t>
  </si>
  <si>
    <t>Birmingham</t>
  </si>
  <si>
    <t>www.capstonebuilding.com</t>
  </si>
  <si>
    <t xml:space="preserve">ctravis@capstonebuilding.com </t>
  </si>
  <si>
    <t>Chris Travis</t>
  </si>
  <si>
    <t xml:space="preserve">Sr. VP, Finance </t>
  </si>
  <si>
    <t>LEDIC Management Group, LLC</t>
  </si>
  <si>
    <t>555 Perkins Ext</t>
  </si>
  <si>
    <t>Memphis</t>
  </si>
  <si>
    <t>www.ledic.com</t>
  </si>
  <si>
    <t>Berman Indictor LLP</t>
  </si>
  <si>
    <t>30 N. 41st Street, Suite 450</t>
  </si>
  <si>
    <t>www.bermanindictor.com</t>
  </si>
  <si>
    <t>berman@bermanindictor.com</t>
  </si>
  <si>
    <t>Steve Berman</t>
  </si>
  <si>
    <t>CohnReznick</t>
  </si>
  <si>
    <t>500 East Pratt Street, Suite 200</t>
  </si>
  <si>
    <t>Baltimore</t>
  </si>
  <si>
    <t>www.cohnreznick.com</t>
  </si>
  <si>
    <t xml:space="preserve">mike.cumming@cohnreznick.com </t>
  </si>
  <si>
    <t>Michael Cumming</t>
  </si>
  <si>
    <t>Kitchen and Associates</t>
  </si>
  <si>
    <t>756 Haddon Avenue</t>
  </si>
  <si>
    <t>Collingwood</t>
  </si>
  <si>
    <t>www.kitchenandassociates.com</t>
  </si>
  <si>
    <t>sschoch@kitchenandassociates.com</t>
  </si>
  <si>
    <t>Steve Schoch</t>
  </si>
  <si>
    <t>FCS Urban Ministries, Inc.</t>
  </si>
  <si>
    <t>Katie Delp</t>
  </si>
  <si>
    <t>katie@fcsministries.org</t>
  </si>
  <si>
    <t>Other (Owner, GP, Developer)</t>
  </si>
  <si>
    <t>Invest Atlanta</t>
  </si>
  <si>
    <t>Housing Opportunity Bond</t>
  </si>
  <si>
    <t>Atlanta Housing Authority</t>
  </si>
  <si>
    <t>MF</t>
  </si>
  <si>
    <t>Electric Heat Pump</t>
  </si>
  <si>
    <t xml:space="preserve">The applicant is utilizing the Atlanta Housing Authority's utility allowance included in Tab 01 - Feasibility.  The project is new construction and will be sub-metered.  The owner is providing the range, microwave, and refrigerator in all units.  The owner will also pay for refuse collection. The effective date of the utility allowance is July 1, 2018 and referenced on the utility allowance schedule. </t>
  </si>
  <si>
    <t>1297 Jonesboro Raod SE</t>
  </si>
  <si>
    <t>Due Diligence Review Fee</t>
  </si>
  <si>
    <t>2-Story Walkup</t>
  </si>
  <si>
    <t>Bank Chk, Software, Training, Credit Checks</t>
  </si>
  <si>
    <t>Unit Turnover</t>
  </si>
  <si>
    <t>Water Billing Fee (3rd Party)</t>
  </si>
  <si>
    <t xml:space="preserve">Pennrose Holdings LLC is the managing member of the Managing General Partner, HA SA MM LLC. Pennrose LLC is the developer of the redevelopment effort. Mark Dambly, Richard Barnhart, Timothy Henkel, and Hunt PR holdings are all principals of Pennrose Holdings LLC and Pennrose LLC. </t>
  </si>
  <si>
    <t>DDA/QCT</t>
  </si>
  <si>
    <t>Bank of America</t>
  </si>
  <si>
    <t>Amortizing</t>
  </si>
  <si>
    <t>Invest Atlant's Fees</t>
  </si>
  <si>
    <t>Enriched Property Services</t>
  </si>
  <si>
    <t xml:space="preserve">Lender's Due Diligence Fee </t>
  </si>
  <si>
    <t xml:space="preserve">FCS Urban Ministries is the co-developer and will recieve 25% of the Developer Fee as disclosed in the preapplication. 
Developer:  Pennrose LLC  - Richard K. Barnhart 22.5%, Mark H. Dambly 22.5%, Timothy I. Henkel, 15.0% (all Certifying Principals) AND Hunt PR Holdings, LLC (Member) - Please see attached Org Chart.  In this Pre-Application, when choosing the "proposed project participant role" for Pennrose LLC, we selected "Other Developer".  There was no option to select "Developer".   Pennrose LLC is the only Developer for this project.  
Green Sustainable Solutions, LLC (GSS) is a development consultant for the LIHTC application only.  GSS is not materially participating in this project.  GSS does not have any direct or indirect ownership interest in the Ownership Entity or the Developer of this project.  GSS participation is as a tax credit application consultant, and their financial compensation in this project is less than the Georgia Department of Community Affairs' material measurement of 5% of developer fee
In 2015 Charis Community Housing, Inc merged with FCS Urban Ministries (FCS). Merger documentation has been included in Tab 43 - Other.  There may be references to Charis Community Housing, Inc which is essentially synonomous with FCS. 
</t>
  </si>
  <si>
    <t>Hunt Companies, Inc has a controlling minority ownership interest in Ledic Realty Company, LLC.  Ledic Management Group, LLC is a wholly owned subsidiary of Ledic Realty Company, LLC.</t>
  </si>
  <si>
    <t>Hunt ELP, Ltd/TWC Housing, LLC</t>
  </si>
  <si>
    <t>River Pointe II</t>
  </si>
  <si>
    <t>SCB River Pointe III Phase II, LLC/Savannah Community Builders, Inc.</t>
  </si>
  <si>
    <t>FCS Urban Ministries</t>
  </si>
  <si>
    <t>Pennrose Holdings LLC</t>
  </si>
  <si>
    <t>Hunt PR Holdings, LLC</t>
  </si>
  <si>
    <t>Direct</t>
  </si>
  <si>
    <t>WR Redevelopment Phase II</t>
  </si>
  <si>
    <t xml:space="preserve">In 2015 Charis Community Housing, Inc merged with FCS Urban Ministries (FCS). Merger documentation has been included in Tab 43 - Other.  There may be references to Charis Community Housing, Inc which is essentially synonomous with FCS. 
The site will comprise five 3-story buildings (4 residential and 1 Community Building).  The unit mix will consist of 1, 2, and 3 bedroom units with income targets of 50% and 60% AMI or below and market rate units. </t>
  </si>
  <si>
    <t>Piece Ledbetter</t>
  </si>
  <si>
    <t>CEO</t>
  </si>
  <si>
    <t>pierce.ledbetter@ledic.com</t>
  </si>
  <si>
    <t>The construction loan, permanent loan, and equity commitments are included in Tab 1. 
The project will consist of 13 market rate units.  Per DCA's requirement, the developer must have conventional financing or unrestricted sources to cover any and all costs directly associated with the market rate units. The percentage of market rate units must be less than or equal to the permanent financing loan to total development cost percentage.  The TDC is $15,872,847 which equates to $188,962 per unit.  
When multiplying the per unit cost of $188,962 times the 13 market rate units it equals the total cost of the market rate units at $2,456,512.  The project has $3.6 MM in conventional, unrestricted debt; thus, complying with DCA's Market Unit policy.</t>
  </si>
  <si>
    <t>Invest Atlanta includes the following fees in their commitment: 
$1,500 - Commitment Fee
$1,500 - Attorney's Fees
$1,500 - Origination Fee</t>
  </si>
  <si>
    <t xml:space="preserve">The construction loan commitment identifies a $25,000 due diligence fee to cover appraisals, environmental and construction cost reviews. </t>
  </si>
  <si>
    <t>The equity commitment provided by RBC includes a $25,000 due diligence fee.</t>
  </si>
  <si>
    <t xml:space="preserve">The construction costs were determined based on guidance from our proposed General Contractor, Capstone Builders.  Construction Loan Interest was calculated based on the projected flow of funds.  Local government fees were confirmed by the local government.  Charts with the fee breakdown are provided by the of Atlanta that were utilized in estimating the costs.   </t>
  </si>
  <si>
    <t xml:space="preserve">The project meets DCA's requirement of a 1.20 debt coverage ratio for each year through Year 27.  The Asset Management fee reflected includes RBC's $7,500 and Invest Atlanta's $2,500 as described in the term sheets in Tab 1.  Additionally, the Invest Atlanta cash flow loan's debt service payment is shown as $36,547. </t>
  </si>
  <si>
    <t xml:space="preserve">The Applicant has submitted a proposal which conforms to the 2019 QAP.   All costs for Development and Construction have been carefully underwritten by experienced estimators.  Federal ($0.88) and State ($0.55) equity pricing are competitive and verified with experienced Investors and are appropriate for their yields.  Operating Costs have been proposed by an experienced Management Company, which has operated comparable properties at these expesnes.  Rents have been set at the allowable rents per DCA instructions and the most current utility allowances from The Atlanta Housing Authority have been utilized. Total Developer Fee is within 2019 QAP limits.  </t>
  </si>
  <si>
    <t xml:space="preserve">The total development cost is $15,879,750 which is below the Project Cost Limits. </t>
  </si>
  <si>
    <t xml:space="preserve">The applicant has elected family tenancy for this project. </t>
  </si>
  <si>
    <t>Agree</t>
  </si>
  <si>
    <t xml:space="preserve">Applicant agrees to provide the required number and kinds of services as required in the 2019 QAP for projects with a family tenancy.  The project has 84 units; consequently, a full-time activities manager has not been included in the budget. Additionally, the project does not involved the rehabilitation of an existing congregate supportive housing development therefore no behavioral health agency has been identified. </t>
  </si>
  <si>
    <t>Novogradac &amp; Company</t>
  </si>
  <si>
    <t>25 units per month (just over three months)</t>
  </si>
  <si>
    <t>Villages at Carver</t>
  </si>
  <si>
    <t>The Station at Richmond Hill</t>
  </si>
  <si>
    <t>The Villas at Lakewood</t>
  </si>
  <si>
    <t>2013-051</t>
  </si>
  <si>
    <t>Columbia Peoplestown</t>
  </si>
  <si>
    <t>2001-077</t>
  </si>
  <si>
    <t>Crogman School Lofts</t>
  </si>
  <si>
    <t>2001-037</t>
  </si>
  <si>
    <t>Boyoton Village</t>
  </si>
  <si>
    <t>Everson, Huber &amp; Associates, LC</t>
  </si>
  <si>
    <t>Everson, Huber &amp; Associates has completed an appraisal in conformance with DCA's appraisal guidelines. The land value as of May 15, 2019 is $300,000 which supports the purchase price. There is an identity of interest between the land owner and purchaser because FCS Urban Ministries is a project member in the development.</t>
  </si>
  <si>
    <t>RMY Consulting</t>
  </si>
  <si>
    <t>Harry Walls Environmental Consulting</t>
  </si>
  <si>
    <t xml:space="preserve">The development will include 84 units.  The primary market has a tax credit occupancy of 97.7%,  a market rate occupancy of 95.7, and an overall Market Occupancy rate of 96.90%, demonstrating a very healthy market environment. The overall caputre rateis 8.3%.  There are no DCA funded properties within 1-mile of Haven site in the past 10 years. </t>
  </si>
  <si>
    <t xml:space="preserve">The subject property is currently vacant land.  A noise assessment was conducted by RMY consulting in accordance with DCA's environmental manual.  Additionally, Harry Walls Environmental Consulting conducting a noise study. The noise levels were in the acceptable range; consequently, no attenuation plan was required.  Lead was detected in the soil; however, the concentrations are below the default Type 1 Risk Reduction Standards which post no significant risk on the basis of standardized exposures assumptions and defined risk level for residential properties. A more detailed explanation can be found in the Environmental Assessment under Lead Based Paint (page 22 of the report). </t>
  </si>
  <si>
    <t>Purchase Contract</t>
  </si>
  <si>
    <t>Haven SA, LLC</t>
  </si>
  <si>
    <t xml:space="preserve">FCS Urban Ministries has entered into an option to purchase with Haven SA, LLC.  The purchase price does not exceed the value indicated in the appraisal and site control is provided through December 31, 2020.  A Legal Description in both Word and PDF has been included. </t>
  </si>
  <si>
    <t>N/Ap</t>
  </si>
  <si>
    <t xml:space="preserve">The site is accessible via Hardwick Street SE which is a legally paved road. </t>
  </si>
  <si>
    <t>Not applicable</t>
  </si>
  <si>
    <t>Georgia Power</t>
  </si>
  <si>
    <t>Tab 11 containes a  letter from Georgia Power  confirming availability of power to the site.</t>
  </si>
  <si>
    <t>City of Atlanta letters for Water and Sewer are included with the application confirming location and availability to the site.   They are contained in Tab 12.</t>
  </si>
  <si>
    <t>Covered Porch</t>
  </si>
  <si>
    <t>Yes - W&amp;D hookups installed in each unit</t>
  </si>
  <si>
    <t>W&amp;D installed in each unit</t>
  </si>
  <si>
    <t>The proposed development consists of 84 units; therefore, only two additional site amenities were required. The applicant selected an additonal amenity (Equipped Computer Center with WiFi) in conjunction with the programming outlined in the Enriched Property Services.  All DCA amenity guidelines will be adhered to.  Additionally, all amenities have been identified on the Conceputal Site Development Plan included in Tab 15.</t>
  </si>
  <si>
    <t>The Conceptual Site Development Plan meets all DCA requirements, location and Vicinity maps show geo coordinates and entire municipality, site pictures are in color, numbered, dated and include descriptions.  All site photos are keyed to site map.  The aerial photo is included and dated within 6 months of the application deadline.  See Tab 15.</t>
  </si>
  <si>
    <t xml:space="preserve">The applicant agreees to comply with DCA's building sustainability standards. A draft Earth Craft House Multifamily worksheet has been completed and included in Tab 16.  A project must achieve at least 100 points to be receive the Southface Earth Craft House Multifamily designation. The applicant has included a preliminary woksheet with 131 points identified. </t>
  </si>
  <si>
    <t>Diligent Consulting Services</t>
  </si>
  <si>
    <t>Applicant agrees to comply with all required DCA accessibility regulations and standards.</t>
  </si>
  <si>
    <t xml:space="preserve">The applicant will comply with all applicable DCA 2019 architectural guidelines and standards. </t>
  </si>
  <si>
    <t xml:space="preserve">The executed 2019 qualification determination has been included in Tab 19. The letter identifid the project team as, "Qualified".  There have been no changes to the project or project team since the preapplication submission. The Certificate of Existence for the owner entity has been included in Tab 19 as well. Additionally, FCS Urban Ministries, a member of the managing GP, merged with Charis Community Housing, Inc in 2015. Merger documentation has been included in Tab 43 - Other.  This has no bearing on the experience determination nor is their a deviation from the preapplication; however, there may be references to Charis Community Housing, Inc and it's important to note, this is essentially the same as referencing FCS. </t>
  </si>
  <si>
    <t xml:space="preserve">All compliance related documentation was submitted at pre-application. There is no additional information required by DCA at this time. </t>
  </si>
  <si>
    <t>Not applicble</t>
  </si>
  <si>
    <t xml:space="preserve">There are no structures on this site and no displacements would occur as a result of this development.   The relocation summary has been included.        </t>
  </si>
  <si>
    <t xml:space="preserve">Applicant agrees to all requirements of AFFH. </t>
  </si>
  <si>
    <t>N/a</t>
  </si>
  <si>
    <t>Disagree</t>
  </si>
  <si>
    <t xml:space="preserve">The applicant agrees to accept Section 811 PBRA or other DCA offered rental assistance for up to 10% of the units for the purpose of providing Integrated Supportive Housing opportunities for persons with disabilities. </t>
  </si>
  <si>
    <t>The owners will ensure the complete, effective, efficient, and lawful utilization of the low income housing tax credits if awarded by DCA.</t>
  </si>
  <si>
    <t>The site is zoned appropriately for its intended use.  The site is zoned Mr-3-C Multifamily Residential District 3 Regulations 3 with conditions.  Multi-family residential is a permitted use within this district and the conditions do not impede the proposed development.  The only condition is a height limitation for all properties subject to the MR-3 zoning maximum building height of 60 feet (condition in Attahment A).</t>
  </si>
  <si>
    <t>MARTA</t>
  </si>
  <si>
    <t>custserv@itsmarta.com</t>
  </si>
  <si>
    <t>https://www.itsmarta.com/55.aspx</t>
  </si>
  <si>
    <t>https://www.itsmarta.com/pdfs/maps/55.pdf</t>
  </si>
  <si>
    <t xml:space="preserve">Diet Quality and Physical Education </t>
  </si>
  <si>
    <t>Mental wellness, weight management, boosting energy levels, managing stress, weight management</t>
  </si>
  <si>
    <t>Food Resource Management</t>
  </si>
  <si>
    <t>Choose healthy foods for my family on a budget, identify foods on sale or use coupons to save money, Cook healthy foods on a budget.</t>
  </si>
  <si>
    <t>Food Safety</t>
  </si>
  <si>
    <t>Cleaning and Santizing, Allergen Control, Ensuring Quality, Foodborne illness, refrigeration/freezing techniques</t>
  </si>
  <si>
    <t>The applicant is not eligible for points in this category.</t>
  </si>
  <si>
    <t>68-81</t>
  </si>
  <si>
    <t>28-67</t>
  </si>
  <si>
    <t>123 and 127</t>
  </si>
  <si>
    <t>139-142</t>
  </si>
  <si>
    <t>135, 140, 143</t>
  </si>
  <si>
    <t>FCS Urban Ministries receives ongoing charitable donatoins and grants to fund their blight removal program. Commitment letters from a few donors have been included in Tab 32. Foundation donation letters  inclued in Tab 32: Courts Foundation, Campbell Foundation, Joseph Whitehead Foundation.</t>
  </si>
  <si>
    <t xml:space="preserve">Blighted abandoned property can be a danger to the public and lead to an increase in crime.  Blight has a negative effect on surrounding property values which not only hurts adjacent property owners but reduces local property tax revenue, and has severely detrimental effects on neighborhoods. </t>
  </si>
  <si>
    <t xml:space="preserve">FCS Urban Ministries initially raised $465,000 in private capital to rehab and sell 10 homes in the South Atlanta community . After these successes they were able to grow the fund to $1,400,000 through philanthropy (commitments have been included in Tab 32) and a zero interest $500K loan from a local Atlanta Foundation. </t>
  </si>
  <si>
    <t>Foundation</t>
  </si>
  <si>
    <t xml:space="preserve">A commitment from Invest Atlanta for Housing Opportunity Bonds in the amount of $1,200,000 has been included. The loan is for both construction and permanent financing for a period of 40 years and 1% interest. The commitment is included in Tab 1 and Tab 40. This loan represents 7.5601% of TDC, so the applicant is eligible for 2 points. </t>
  </si>
  <si>
    <t>The applicant has chosen to claim the 1 priority point for this application (Haven at South Atlanta).</t>
  </si>
  <si>
    <t xml:space="preserve">Haven at South Atlanta is not within a 1-mile radius of a 9% development that has received an award in the last 6 funding cycles. </t>
  </si>
  <si>
    <t>Jim Wehner</t>
  </si>
  <si>
    <t>https://www.fcsministries.org/</t>
  </si>
  <si>
    <t>Jim@fcsministries.org</t>
  </si>
  <si>
    <t xml:space="preserve">Purpose Built Schools Atlanta </t>
  </si>
  <si>
    <t xml:space="preserve">Gregory J. Giornelli </t>
  </si>
  <si>
    <t>South Atlanta Civic League</t>
  </si>
  <si>
    <t>Kimberlee Jones</t>
  </si>
  <si>
    <t>https://purposebuiltschoolsatlanta.org/</t>
  </si>
  <si>
    <t>ggiornelli@purposebuiltschools.org</t>
  </si>
  <si>
    <t>http://southatlantacivicleague.com/</t>
  </si>
  <si>
    <t>kpaytonjones@gmail.com</t>
  </si>
  <si>
    <t>1.) Lupton Center - Education &amp; Training (2017)</t>
  </si>
  <si>
    <t>2.) Carver Market/Community Grounds/S. Atlanta Bike Shop - Provide Jobs &amp; Spur local economy (2017)</t>
  </si>
  <si>
    <t>3.) Carver Market/Community Grounds/S. Atlanta Bike Shop - Provide Jobs &amp; Spur local economy (2016)</t>
  </si>
  <si>
    <t>In 2000, the South Atlanta Civic League (SACL) heard about Focused Community Strategies (FCS), a nonprofit organization that had been working to facilitate revitalization efforts in the nearby communities of Grant Park, Summerhill, Ormewood Park, and East Lake.   SACL remembered what South Atlanta had been, and they invited FCS to dream with them about neighbors returning to South Atlanta to create an economically diverse neighborhood. Discussions centered on the liquor store, which was representative of many blighted commercial spaces, at the intersection of McDonough Boulevard and Jonesboro Road; it was the one of the few remaining businesses in the neighborhood, and it had become a hotbed of criminal activity. With neighborhood support, FCS purchased the liquor store, transformed it into a coffee shop and thrift store, and began building on this new community asset to generate momentum for positive change.  For 18 years and counting, FCS has been partnering with the residents of South Atlanta to create a flourishing neighborhood. In addition to developing numerous programs to support local families, FCS has worked with partners to renovate more than 165 homes in the neighborhood, increasing home ownership to more than 50%. In 2015, the thrift store was converted into Carver Market, an oasis of affordable fresh produce and other groceries in what had long been a food desert.   FCS has worked with two community based non-profits (PBSA and SACL) for over two-years to improve the lives of existing residents in S. Atlanta for over 2-years (measurable metrics)  Please See Tab 33 of the Application.  The applicant has included FCS's IRS Form 990 for 2017 and 2016 and a detailed narrative substantiating their philanthropic activities during the required time period.  Additionaly, the 2018 returns have not been completed; however, a draft can be provided at DCA's request.   These Philanthropic activities are limited to the space provided, FCS leads numerous activities in the Defined Neighborhood that improves residents access to transportation, health care, Food, housing and eductation/job training.   FCS was sought out and invited by a community led effort via the South Atlanta Civic League to become the communities Development Partner two decades ago.  Please see Tab 33 for letter from SACL.  FCS has engaged and relationships with the entire community, please see letters from existing residents , government employees, Price Middle School Principal, and other health and transportation representatives who have agreed to serve on the CQB for the Transformation Plan in Tab 33.  Please see Tab 33 for the entire "FCS Story".</t>
  </si>
  <si>
    <t>Mark Dambly</t>
  </si>
  <si>
    <t xml:space="preserve">FCS Urban Ministries, Inc. </t>
  </si>
  <si>
    <t xml:space="preserve">1297 Jonesboro Road SE </t>
  </si>
  <si>
    <t>FCS Urban Ministries is the land seller and a member of the General Partnership. They are also serving as co-developer and will receive 25% of the developer fee. An appraisal has been included due to the identity of interest. FCS is also a member of the Managing Member (Haven SA MM LLC)</t>
  </si>
  <si>
    <t xml:space="preserve">Real Estate Tax assumptions are based on an 8.56% capitalization rate on year one NOI to estimate the fair market value upon completion.  Assessed value is 40% of FMV.  The millage rate for the City of Atlanta as of 2018 is 30.97 and Fulton County 10.43. 2019 millage rates have not been released at this time. Estimated property taxes are $73,967. Please see detailed breakdown in Tab 1. 
Insurance expense is based on a $38,721 estimate from M.F. Irvine, included in Tab 1.   
There is $20,000 to cover the Food Coop as an "optional" service for residents of The Haven at S. Atlanta
There is $10,000 included in the operating budget to offset the expenses associated with the implementation and management of the Education Outcomes and Healthy Eating Program.  $5,000 is budgeted for supplies, material, etc for the Education Outcomes expenes and $5,000 is budgeted for supplies, materials, equipment, etc for the Healthy Eating Program.  
</t>
  </si>
  <si>
    <t xml:space="preserve">The Desirable/Undesirable Certification shows ten amenities for a total of 15 points, althoug applicants are capped at ten.  Tab 27 also  includes google maps showing directions to amenities from site. Google directional maps have been provided that utilize the pedestrian/vehicular geo coordinates at the site entrance.   The daycare licensing information has been inluded as well. 
Additionally, Haven at South Atlanta is 0.8 miles from the Carver Neighborhood Market located at 1297 McDonough Boulevard SE, Atlanta, GA 30315; consequently, the site is not in a food desert and should not receive any undesirable point deductions.  The QAP defines a food desert as a “low-income census tract where a significant number or share of residents is more than 2 miles (USDA urban) or 20 miles (USDA rural) from the nearest supermarket”. DCA requires applicants to utilize the USDA Food Access Research Atlas showing the “LI and LA at 1 and 20 miles” layer with the site location clearly marked. Please note, the layer DCA identifies (LA at 1 and 20 miles) demonstrates, “Low-income census tracts where a significant number or share of residents is more than 1 mile (urban) or 20 miles (rural) from the nearest supermarket, a much shorter distance than the 2 mile distance referenced in the QAP. The applicant has also verified with Alana Rhone, USDA Economic Research Service, Agricultural Economist, and with the physical reports that the map utilizes, 1) the data has not been updated since 2015 and 2) only supermarkets, super centers, or large grocery stores are identified.  The Carver Neighborhood Market is three years old; consequently, it would not have been captured in 2015 data.  Additionally, although the neighborhood market meets the grocery store requirements, it is not a large supermarket or super center. 
</t>
  </si>
  <si>
    <t>Purpose Built Communities will be partnering with the project owner to offer an after-school enrichment chess club for Elementary and Middle school aged residents.  PBSA will lead a Chess Club at the Haven at South Atlanta clubhouse. A description of the meeting location has been included in the Education Outcomes LOI. Additionally, the LOI documents the sources that will be utilized to fund the program, measurable outcomes and how they will be measured, as well as roles and responsibilities.</t>
  </si>
  <si>
    <t xml:space="preserve">FCSs redevelopment and repositioning of the blighted parcels in the neighborhood is a strategic objective of the revitalization plan.  FCS has worked with and collaborated with the South Atlanta Civic Center over the last two decades to implement this strategy to improve the neighorhood for existing and future residents. </t>
  </si>
  <si>
    <t xml:space="preserve">The applicant has included an approved community revitalization plan. The revitalization certificate has been executed and included in Tab 32. Additionally, all off site improvement documentation has been included in Tab 32. </t>
  </si>
  <si>
    <t>2019-063</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</si>
  <si>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</si>
  <si>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</si>
  <si>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</si>
  <si>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</si>
  <si>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</si>
  <si>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</si>
  <si>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</si>
  <si>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</si>
  <si>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</si>
  <si>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</si>
  <si>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Total </t>
    </r>
    <r>
      <rPr>
        <i/>
        <sz val="10"/>
        <color theme="0"/>
        <rFont val="Arial Narrow"/>
        <family val="2"/>
      </rPr>
      <t>Existing</t>
    </r>
    <r>
      <rPr>
        <sz val="10"/>
        <color theme="0"/>
        <rFont val="Arial Narrow"/>
        <family val="2"/>
      </rPr>
      <t xml:space="preserve"> Units</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</si>
  <si>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</si>
  <si>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</si>
  <si>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</si>
  <si>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</si>
  <si>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</si>
  <si>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</si>
  <si>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</si>
  <si>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</si>
  <si>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</si>
  <si>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</si>
  <si>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</si>
  <si>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</si>
  <si>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</si>
  <si>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</si>
  <si>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</si>
  <si>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</si>
  <si>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</si>
  <si>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</si>
  <si>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</si>
  <si>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</si>
  <si>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</si>
  <si>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</si>
  <si>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</si>
  <si>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</si>
  <si>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</si>
  <si>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</si>
  <si>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</si>
  <si>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</si>
  <si>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</si>
  <si>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</si>
  <si>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</si>
  <si>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</si>
  <si>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</si>
  <si>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</si>
  <si>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</si>
  <si>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Accessibility standards that must be met at the time of project completion by all projects under this QAP.  </t>
    </r>
    <r>
      <rPr>
        <sz val="9"/>
        <color theme="0"/>
        <rFont val="Arial"/>
        <family val="2"/>
      </rPr>
      <t>Upon completion, will this project comply with:</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</si>
  <si>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</si>
  <si>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</si>
  <si>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</si>
  <si>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</si>
  <si>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</si>
  <si>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</si>
  <si>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</si>
  <si>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</si>
  <si>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</si>
  <si>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</si>
  <si>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</si>
  <si>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</si>
  <si>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</si>
  <si>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</si>
  <si>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</si>
  <si>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</si>
  <si>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</si>
  <si>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</si>
  <si>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</si>
  <si>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</si>
  <si>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</si>
  <si>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</si>
  <si>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</si>
  <si>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</si>
  <si>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</si>
  <si>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</si>
  <si>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</si>
  <si>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</si>
  <si>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</si>
  <si>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</si>
  <si>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</si>
  <si>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</si>
  <si>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School Name </t>
    </r>
    <r>
      <rPr>
        <sz val="7"/>
        <color theme="0"/>
        <rFont val="Arial Narrow"/>
        <family val="2"/>
      </rPr>
      <t>(from state CCRPI website)</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</si>
  <si>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</si>
  <si>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</si>
  <si>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</si>
  <si>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</si>
  <si>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</si>
  <si>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</si>
  <si>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Phased Developments </t>
    </r>
    <r>
      <rPr>
        <i/>
        <sz val="9"/>
        <color theme="0"/>
        <rFont val="Arial"/>
        <family val="2"/>
      </rPr>
      <t>(Flexible Pool only)</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</si>
  <si>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</si>
  <si>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</si>
  <si>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 xml:space="preserve">Previous Projects </t>
    </r>
    <r>
      <rPr>
        <i/>
        <sz val="9"/>
        <color theme="0"/>
        <rFont val="Arial"/>
        <family val="2"/>
      </rPr>
      <t xml:space="preserve"> (Rural Pool)</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</si>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</sst>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70">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b/>
      <sz val="11"/>
      <color theme="0"/>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sz val="11"/>
      <color theme="0"/>
      <name val="Arial Narrow"/>
      <family val="2"/>
    </font>
    <font>
      <sz val="9"/>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i/>
      <sz val="10"/>
      <color theme="0"/>
      <name val="Arial Narrow"/>
      <family val="2"/>
    </font>
    <font>
      <u/>
      <sz val="9"/>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sz val="14"/>
      <color theme="0"/>
      <name val="Arial"/>
      <family val="2"/>
    </font>
    <font>
      <i/>
      <sz val="9"/>
      <color theme="0"/>
      <name val="Arial"/>
      <family val="2"/>
    </font>
    <font>
      <sz val="6"/>
      <color theme="0"/>
      <name val="Arial Narrow"/>
      <family val="2"/>
    </font>
    <font>
      <sz val="5"/>
      <color theme="0"/>
      <name val="Arial Narrow"/>
      <family val="2"/>
    </font>
    <font>
      <i/>
      <sz val="10"/>
      <color theme="0"/>
      <name val="Arial"/>
      <family val="2"/>
    </font>
    <font>
      <i/>
      <sz val="8"/>
      <color theme="0"/>
      <name val="Arial"/>
      <family val="2"/>
    </font>
    <font>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6"/>
      <color theme="0"/>
      <name val="Arial"/>
      <family val="2"/>
    </font>
    <font>
      <i/>
      <u/>
      <sz val="8"/>
      <color theme="0"/>
      <name val="Arial"/>
      <family val="2"/>
    </font>
    <font>
      <i/>
      <sz val="14"/>
      <color theme="0"/>
      <name val="Arial"/>
      <family val="2"/>
    </font>
    <font>
      <sz val="10"/>
      <color theme="0"/>
      <name val="Garamond"/>
      <family val="1"/>
    </font>
    <font>
      <i/>
      <sz val="7"/>
      <color theme="0"/>
      <name val="Arial"/>
      <family val="2"/>
    </font>
    <font>
      <i/>
      <u/>
      <sz val="9"/>
      <color theme="0"/>
      <name val="Arial"/>
      <family val="2"/>
    </font>
    <font>
      <sz val="8"/>
      <color theme="0"/>
      <name val="Garamond"/>
      <family val="1"/>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3975">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8"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0"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1"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7" fillId="0" borderId="78" xfId="0" applyNumberFormat="1" applyFont="1" applyBorder="1" applyAlignment="1" applyProtection="1">
      <alignment horizontal="center" vertical="center" wrapText="1"/>
    </xf>
    <xf numFmtId="38" fontId="193"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4" fillId="0" borderId="0" xfId="0" applyFont="1" applyAlignment="1" applyProtection="1">
      <alignment horizontal="right" vertical="center"/>
    </xf>
    <xf numFmtId="0" fontId="198"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7" fillId="0" borderId="0" xfId="0" applyNumberFormat="1" applyFont="1" applyFill="1" applyAlignment="1" applyProtection="1">
      <alignment horizontal="center" vertical="center"/>
    </xf>
    <xf numFmtId="38" fontId="193"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199"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89"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8"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2"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6" fillId="0" borderId="0" xfId="0" applyFont="1"/>
    <xf numFmtId="0" fontId="205" fillId="0" borderId="0" xfId="0" applyFont="1"/>
    <xf numFmtId="38" fontId="205" fillId="0" borderId="0" xfId="0" applyNumberFormat="1" applyFont="1"/>
    <xf numFmtId="164" fontId="205" fillId="0" borderId="0" xfId="1" applyNumberFormat="1" applyFont="1"/>
    <xf numFmtId="43" fontId="205" fillId="0" borderId="0" xfId="0" applyNumberFormat="1" applyFont="1"/>
    <xf numFmtId="0" fontId="2" fillId="10" borderId="0" xfId="12" applyFont="1" applyFill="1"/>
    <xf numFmtId="10" fontId="207" fillId="10" borderId="0" xfId="0" applyNumberFormat="1" applyFont="1" applyFill="1"/>
    <xf numFmtId="0" fontId="205"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vertical="center"/>
    </xf>
    <xf numFmtId="0" fontId="208" fillId="0" borderId="0" xfId="0" applyFont="1" applyFill="1" applyBorder="1" applyAlignment="1" applyProtection="1">
      <alignment horizontal="right"/>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9" fillId="0" borderId="0" xfId="0" applyFont="1" applyFill="1" applyBorder="1" applyProtection="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2"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10"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12" fillId="0" borderId="29" xfId="1" applyNumberFormat="1" applyFont="1" applyFill="1" applyBorder="1" applyAlignment="1" applyProtection="1">
      <alignment horizontal="center" vertical="center"/>
    </xf>
    <xf numFmtId="164" fontId="212"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199"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17" fillId="0" borderId="0" xfId="0" applyFont="1" applyFill="1" applyAlignment="1" applyProtection="1">
      <alignment horizontal="left" vertical="center"/>
    </xf>
    <xf numFmtId="0" fontId="218"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19"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22" fillId="0" borderId="0" xfId="0" applyFont="1" applyFill="1" applyBorder="1" applyAlignment="1" applyProtection="1">
      <alignment horizontal="center" vertical="center"/>
    </xf>
    <xf numFmtId="0" fontId="222"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26"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2" fillId="0" borderId="0" xfId="0" applyNumberFormat="1" applyFont="1" applyFill="1" applyBorder="1" applyAlignment="1" applyProtection="1">
      <alignment vertical="center" wrapText="1"/>
    </xf>
    <xf numFmtId="37" fontId="228" fillId="0" borderId="0" xfId="0" applyNumberFormat="1" applyFont="1" applyFill="1" applyAlignment="1" applyProtection="1">
      <alignment horizontal="center" vertical="center"/>
    </xf>
    <xf numFmtId="3" fontId="226"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29"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231" fillId="0" borderId="0" xfId="0" applyFont="1" applyFill="1" applyBorder="1" applyAlignment="1" applyProtection="1">
      <alignment horizontal="center"/>
    </xf>
    <xf numFmtId="0" fontId="232"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vertical="center" wrapText="1"/>
    </xf>
    <xf numFmtId="0" fontId="102" fillId="0" borderId="0" xfId="0" applyFont="1" applyFill="1" applyBorder="1" applyAlignment="1" applyProtection="1">
      <alignment horizontal="left" vertical="center"/>
    </xf>
    <xf numFmtId="0" fontId="233"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vertical="center" wrapText="1"/>
    </xf>
    <xf numFmtId="0" fontId="95" fillId="0" borderId="0" xfId="0" applyFont="1" applyFill="1" applyBorder="1" applyAlignment="1" applyProtection="1">
      <alignment vertical="center"/>
    </xf>
    <xf numFmtId="0" fontId="102" fillId="0" borderId="0" xfId="0" applyFont="1" applyFill="1" applyBorder="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33"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0" fontId="102" fillId="0" borderId="0" xfId="0" applyFont="1" applyFill="1" applyBorder="1" applyAlignment="1" applyProtection="1"/>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233"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233"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3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23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36" fillId="0" borderId="0" xfId="0" applyFont="1" applyFill="1" applyBorder="1" applyProtection="1"/>
    <xf numFmtId="0" fontId="23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wrapText="1"/>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233" fillId="0" borderId="0" xfId="0" applyFont="1" applyFill="1" applyBorder="1" applyAlignment="1" applyProtection="1">
      <alignment horizontal="center" vertical="center"/>
    </xf>
    <xf numFmtId="0" fontId="102" fillId="0" borderId="0" xfId="0" applyFont="1" applyFill="1" applyBorder="1" applyAlignment="1" applyProtection="1">
      <alignment vertical="top"/>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33" fillId="0" borderId="0" xfId="0" applyFont="1" applyFill="1" applyBorder="1" applyAlignment="1" applyProtection="1"/>
    <xf numFmtId="6" fontId="102" fillId="0" borderId="0" xfId="0" applyNumberFormat="1" applyFont="1" applyFill="1" applyBorder="1" applyAlignment="1" applyProtection="1">
      <alignment vertical="center"/>
    </xf>
    <xf numFmtId="0" fontId="233" fillId="0" borderId="0" xfId="0" applyFont="1" applyFill="1" applyBorder="1" applyAlignment="1" applyProtection="1">
      <alignment vertical="top" wrapText="1"/>
    </xf>
    <xf numFmtId="0" fontId="239" fillId="0" borderId="0" xfId="6" applyFont="1" applyFill="1" applyBorder="1" applyAlignment="1" applyProtection="1">
      <alignment vertical="center"/>
    </xf>
    <xf numFmtId="0" fontId="102"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33" fillId="0" borderId="0" xfId="0" applyFont="1" applyFill="1" applyBorder="1" applyProtection="1"/>
    <xf numFmtId="49" fontId="232" fillId="0" borderId="0" xfId="0" applyNumberFormat="1" applyFont="1" applyFill="1" applyBorder="1" applyAlignment="1" applyProtection="1">
      <alignment vertical="center"/>
    </xf>
    <xf numFmtId="0" fontId="92" fillId="0" borderId="0" xfId="0" applyFont="1" applyFill="1" applyBorder="1" applyAlignment="1" applyProtection="1"/>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0" fontId="239" fillId="0" borderId="0" xfId="0" applyFont="1" applyFill="1" applyBorder="1" applyAlignment="1" applyProtection="1">
      <alignment vertical="center"/>
    </xf>
    <xf numFmtId="0" fontId="240" fillId="0" borderId="0" xfId="0" quotePrefix="1" applyFont="1" applyFill="1" applyBorder="1" applyAlignment="1" applyProtection="1">
      <alignment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0" fontId="239" fillId="0" borderId="0" xfId="0" applyFont="1" applyFill="1" applyBorder="1" applyAlignment="1" applyProtection="1">
      <alignment horizontal="center" vertical="center"/>
    </xf>
    <xf numFmtId="9" fontId="233" fillId="0" borderId="0" xfId="0" applyNumberFormat="1" applyFont="1" applyFill="1" applyBorder="1" applyAlignment="1" applyProtection="1">
      <alignment horizontal="center" vertical="center"/>
    </xf>
    <xf numFmtId="0" fontId="131" fillId="0" borderId="0" xfId="0" applyFont="1" applyFill="1" applyBorder="1" applyAlignment="1" applyProtection="1">
      <alignment vertical="center" wrapText="1"/>
    </xf>
    <xf numFmtId="0" fontId="232" fillId="0" borderId="0" xfId="0" applyFont="1" applyFill="1" applyBorder="1" applyAlignment="1" applyProtection="1">
      <alignment vertical="top"/>
    </xf>
    <xf numFmtId="49" fontId="241"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32"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31" fillId="0" borderId="0" xfId="0" applyFont="1" applyFill="1" applyBorder="1" applyAlignment="1" applyProtection="1">
      <alignment horizontal="center" vertical="center"/>
    </xf>
    <xf numFmtId="0" fontId="238"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164" fontId="23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xf>
    <xf numFmtId="37" fontId="233" fillId="0" borderId="0" xfId="1" applyNumberFormat="1" applyFont="1" applyFill="1" applyBorder="1" applyAlignment="1" applyProtection="1">
      <alignment horizontal="center"/>
    </xf>
    <xf numFmtId="37" fontId="233"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center"/>
    </xf>
    <xf numFmtId="4" fontId="238" fillId="0" borderId="0" xfId="1" applyNumberFormat="1" applyFont="1" applyFill="1" applyBorder="1" applyAlignment="1" applyProtection="1">
      <alignment horizontal="right" vertical="center"/>
    </xf>
    <xf numFmtId="171" fontId="236" fillId="0" borderId="0" xfId="0" applyNumberFormat="1" applyFont="1" applyFill="1" applyBorder="1" applyAlignment="1" applyProtection="1">
      <alignment horizontal="left" vertical="center"/>
    </xf>
    <xf numFmtId="4" fontId="238" fillId="0" borderId="0" xfId="1" applyNumberFormat="1" applyFont="1" applyFill="1" applyBorder="1" applyAlignment="1" applyProtection="1">
      <alignment vertical="center"/>
    </xf>
    <xf numFmtId="171" fontId="236" fillId="0" borderId="0" xfId="0" applyNumberFormat="1" applyFont="1" applyFill="1" applyBorder="1" applyAlignment="1" applyProtection="1">
      <alignment vertical="center"/>
    </xf>
    <xf numFmtId="4" fontId="23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36" fillId="0" borderId="0" xfId="0" applyFont="1" applyFill="1" applyBorder="1" applyAlignment="1" applyProtection="1">
      <alignment horizontal="center" vertical="center"/>
    </xf>
    <xf numFmtId="37" fontId="238"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38" fillId="0" borderId="0" xfId="1" applyNumberFormat="1" applyFont="1" applyFill="1" applyBorder="1" applyAlignment="1" applyProtection="1">
      <alignment vertical="center"/>
    </xf>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37" fontId="102" fillId="0" borderId="0" xfId="1" applyNumberFormat="1" applyFont="1" applyFill="1" applyBorder="1" applyAlignment="1" applyProtection="1">
      <alignment vertic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32" fillId="0" borderId="0" xfId="0" applyFont="1" applyFill="1" applyBorder="1" applyAlignment="1" applyProtection="1">
      <alignment horizontal="left" vertical="top"/>
    </xf>
    <xf numFmtId="0" fontId="237" fillId="0" borderId="0" xfId="0" applyFont="1" applyFill="1" applyBorder="1" applyAlignment="1" applyProtection="1">
      <alignment horizontal="right" vertical="center"/>
    </xf>
    <xf numFmtId="0" fontId="95" fillId="0" borderId="0" xfId="0" applyFont="1" applyFill="1" applyBorder="1" applyAlignment="1" applyProtection="1">
      <alignment vertical="center" wrapText="1"/>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43" fillId="0" borderId="0" xfId="0" applyFont="1" applyFill="1" applyBorder="1" applyAlignment="1" applyProtection="1">
      <alignment horizontal="left" vertical="center"/>
    </xf>
    <xf numFmtId="38" fontId="233" fillId="0" borderId="0" xfId="0" applyNumberFormat="1" applyFont="1" applyFill="1" applyBorder="1" applyAlignment="1" applyProtection="1">
      <alignment vertical="center"/>
    </xf>
    <xf numFmtId="164" fontId="233"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2" fillId="0" borderId="0" xfId="13" applyFont="1" applyFill="1" applyBorder="1" applyProtection="1"/>
    <xf numFmtId="0" fontId="241" fillId="0" borderId="0" xfId="13" applyFont="1" applyFill="1" applyBorder="1" applyAlignment="1" applyProtection="1">
      <alignment vertical="top" wrapText="1"/>
    </xf>
    <xf numFmtId="0" fontId="92" fillId="0" borderId="0" xfId="13" applyFont="1" applyFill="1" applyBorder="1" applyAlignment="1" applyProtection="1">
      <alignment vertical="top" wrapText="1"/>
    </xf>
    <xf numFmtId="0" fontId="244"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Protection="1"/>
    <xf numFmtId="0" fontId="95" fillId="0" borderId="0" xfId="13" applyFont="1" applyFill="1" applyBorder="1" applyAlignment="1" applyProtection="1">
      <alignment vertical="center"/>
    </xf>
    <xf numFmtId="0" fontId="233"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3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0" fontId="95" fillId="0" borderId="0" xfId="13" applyFont="1" applyFill="1" applyBorder="1" applyAlignment="1" applyProtection="1">
      <alignment horizontal="right" vertical="center" wrapText="1"/>
    </xf>
    <xf numFmtId="0" fontId="92" fillId="0" borderId="0" xfId="0" applyFont="1" applyFill="1" applyBorder="1" applyAlignment="1" applyProtection="1">
      <alignment horizontal="left" vertical="center"/>
    </xf>
    <xf numFmtId="0" fontId="245"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wrapText="1"/>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wrapText="1"/>
    </xf>
    <xf numFmtId="3"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wrapText="1"/>
    </xf>
    <xf numFmtId="0" fontId="247" fillId="0" borderId="0" xfId="0" applyFont="1" applyFill="1" applyBorder="1" applyAlignment="1" applyProtection="1">
      <alignment horizontal="center" vertical="center" wrapText="1"/>
    </xf>
    <xf numFmtId="0" fontId="243"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top" wrapText="1"/>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center" wrapText="1"/>
    </xf>
    <xf numFmtId="38" fontId="92" fillId="0" borderId="0" xfId="0" applyNumberFormat="1" applyFont="1" applyFill="1" applyBorder="1" applyAlignment="1" applyProtection="1">
      <alignment vertical="center"/>
    </xf>
    <xf numFmtId="0" fontId="92" fillId="0" borderId="0" xfId="0" applyNumberFormat="1" applyFont="1" applyFill="1" applyBorder="1" applyAlignment="1" applyProtection="1">
      <alignment horizontal="center" vertical="center" wrapText="1"/>
    </xf>
    <xf numFmtId="0" fontId="241"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48" fillId="0" borderId="0" xfId="0" applyFont="1" applyFill="1" applyBorder="1" applyAlignment="1" applyProtection="1">
      <alignment vertical="center"/>
    </xf>
    <xf numFmtId="0" fontId="248" fillId="0" borderId="0" xfId="0" applyFont="1" applyFill="1" applyBorder="1" applyProtection="1"/>
    <xf numFmtId="0" fontId="249" fillId="0" borderId="0" xfId="0" applyFont="1" applyFill="1" applyBorder="1" applyAlignment="1" applyProtection="1">
      <alignment vertical="center"/>
    </xf>
    <xf numFmtId="38" fontId="248" fillId="0" borderId="0" xfId="1" applyNumberFormat="1" applyFont="1" applyFill="1" applyBorder="1" applyAlignment="1" applyProtection="1">
      <alignment horizontal="right" vertical="center"/>
    </xf>
    <xf numFmtId="38" fontId="92" fillId="0" borderId="0" xfId="0" applyNumberFormat="1" applyFont="1" applyFill="1" applyBorder="1" applyAlignment="1" applyProtection="1">
      <alignment horizontal="right" vertical="center"/>
    </xf>
    <xf numFmtId="0" fontId="250"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38" fontId="92" fillId="0" borderId="0" xfId="0" applyNumberFormat="1" applyFont="1" applyFill="1" applyBorder="1" applyProtection="1"/>
    <xf numFmtId="0" fontId="96" fillId="0" borderId="0" xfId="0" applyFont="1" applyFill="1" applyBorder="1" applyAlignment="1" applyProtection="1">
      <alignment vertical="center" wrapText="1"/>
    </xf>
    <xf numFmtId="0" fontId="92" fillId="0" borderId="0" xfId="0" applyFont="1" applyFill="1" applyBorder="1" applyAlignment="1" applyProtection="1">
      <alignment vertical="top"/>
    </xf>
    <xf numFmtId="0" fontId="96" fillId="0" borderId="0" xfId="0" applyFont="1" applyFill="1" applyBorder="1" applyAlignment="1" applyProtection="1"/>
    <xf numFmtId="0" fontId="9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0" fontId="95" fillId="0" borderId="0" xfId="0" applyFont="1" applyFill="1" applyBorder="1" applyProtection="1"/>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96" fillId="0" borderId="0" xfId="1" applyNumberFormat="1" applyFont="1" applyFill="1" applyBorder="1" applyAlignment="1" applyProtection="1">
      <alignment horizontal="center"/>
    </xf>
    <xf numFmtId="0" fontId="241"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93" fillId="0" borderId="0" xfId="0" applyFont="1" applyFill="1" applyBorder="1" applyAlignment="1" applyProtection="1"/>
    <xf numFmtId="0" fontId="248"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51" fillId="0" borderId="0" xfId="0" applyNumberFormat="1" applyFont="1" applyFill="1" applyBorder="1" applyAlignment="1" applyProtection="1"/>
    <xf numFmtId="0" fontId="235" fillId="0" borderId="0" xfId="0" applyFont="1" applyFill="1" applyBorder="1" applyAlignment="1" applyProtection="1"/>
    <xf numFmtId="0" fontId="235" fillId="0" borderId="0" xfId="0" applyFont="1" applyFill="1" applyBorder="1" applyAlignment="1" applyProtection="1">
      <alignment horizontal="center"/>
    </xf>
    <xf numFmtId="0" fontId="95"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0" fontId="253" fillId="0" borderId="0" xfId="0" applyFont="1" applyFill="1" applyBorder="1" applyAlignment="1" applyProtection="1">
      <alignment vertical="center"/>
    </xf>
    <xf numFmtId="0" fontId="245" fillId="0" borderId="0" xfId="0" applyFont="1" applyFill="1" applyBorder="1" applyAlignment="1" applyProtection="1">
      <alignment vertical="center"/>
    </xf>
    <xf numFmtId="0" fontId="131" fillId="0" borderId="0" xfId="0" applyFont="1" applyFill="1" applyBorder="1" applyProtection="1"/>
    <xf numFmtId="0" fontId="243" fillId="0" borderId="0" xfId="0" applyFont="1" applyFill="1" applyBorder="1" applyAlignment="1" applyProtection="1">
      <alignment vertical="center" wrapText="1"/>
    </xf>
    <xf numFmtId="0" fontId="244" fillId="0" borderId="0" xfId="0" applyFont="1" applyFill="1" applyBorder="1" applyAlignment="1" applyProtection="1">
      <alignment vertical="center"/>
    </xf>
    <xf numFmtId="0" fontId="245"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wrapText="1"/>
    </xf>
    <xf numFmtId="0" fontId="255" fillId="0" borderId="0" xfId="0" applyFont="1" applyFill="1" applyBorder="1" applyAlignment="1" applyProtection="1">
      <alignment vertical="center" wrapText="1"/>
    </xf>
    <xf numFmtId="0" fontId="93" fillId="0" borderId="0" xfId="0" applyFont="1" applyFill="1" applyBorder="1" applyAlignment="1" applyProtection="1">
      <alignment vertical="top" wrapText="1"/>
    </xf>
    <xf numFmtId="0" fontId="131" fillId="0" borderId="0" xfId="0" applyFont="1" applyFill="1" applyBorder="1" applyAlignment="1" applyProtection="1">
      <alignment vertical="center"/>
    </xf>
    <xf numFmtId="0" fontId="249" fillId="0" borderId="0" xfId="0" applyFont="1" applyFill="1" applyBorder="1" applyAlignment="1" applyProtection="1">
      <alignment vertical="top"/>
    </xf>
    <xf numFmtId="0" fontId="249"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43"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wrapText="1"/>
    </xf>
    <xf numFmtId="0" fontId="256" fillId="0" borderId="0" xfId="0" applyFont="1" applyFill="1" applyBorder="1" applyAlignment="1" applyProtection="1">
      <alignment horizontal="right" vertical="top"/>
    </xf>
    <xf numFmtId="3" fontId="249" fillId="0" borderId="0" xfId="0" applyNumberFormat="1" applyFont="1" applyFill="1" applyBorder="1" applyAlignment="1" applyProtection="1">
      <alignment horizontal="center" vertical="top"/>
    </xf>
    <xf numFmtId="0" fontId="249" fillId="0" borderId="0" xfId="0" applyFont="1" applyFill="1" applyBorder="1" applyAlignment="1" applyProtection="1">
      <alignment horizontal="justify" vertical="top" wrapText="1"/>
    </xf>
    <xf numFmtId="0" fontId="249" fillId="0" borderId="0" xfId="0" applyFont="1" applyFill="1" applyBorder="1" applyAlignment="1" applyProtection="1">
      <alignment horizontal="center" vertical="top"/>
    </xf>
    <xf numFmtId="3" fontId="236" fillId="0" borderId="0" xfId="0" applyNumberFormat="1" applyFont="1" applyFill="1" applyBorder="1" applyAlignment="1" applyProtection="1">
      <alignment horizontal="center" vertical="top"/>
    </xf>
    <xf numFmtId="0" fontId="24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241" fillId="0" borderId="0" xfId="0" applyFont="1" applyFill="1" applyBorder="1" applyAlignment="1" applyProtection="1">
      <alignment vertical="center"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44"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3" fontId="233" fillId="0" borderId="0" xfId="0"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right" vertical="center"/>
    </xf>
    <xf numFmtId="0" fontId="235" fillId="0" borderId="0" xfId="0" applyFont="1" applyFill="1" applyBorder="1" applyAlignment="1" applyProtection="1">
      <alignment horizontal="right"/>
    </xf>
    <xf numFmtId="0" fontId="235" fillId="0" borderId="0" xfId="0" applyFont="1" applyFill="1" applyBorder="1" applyAlignment="1" applyProtection="1">
      <alignment horizontal="left" wrapText="1"/>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center"/>
    </xf>
    <xf numFmtId="0" fontId="235" fillId="0" borderId="0" xfId="0" applyFont="1" applyFill="1" applyBorder="1" applyAlignment="1" applyProtection="1">
      <alignment vertical="top"/>
    </xf>
    <xf numFmtId="0" fontId="93"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2" fillId="0" borderId="0" xfId="0" applyFont="1" applyFill="1" applyBorder="1" applyAlignment="1" applyProtection="1">
      <alignment horizontal="left" vertical="top" wrapText="1"/>
    </xf>
    <xf numFmtId="38" fontId="93"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3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38" fontId="92" fillId="0" borderId="0" xfId="0" applyNumberFormat="1" applyFont="1" applyFill="1" applyBorder="1" applyAlignment="1" applyProtection="1">
      <alignment horizontal="center" vertical="top"/>
    </xf>
    <xf numFmtId="0" fontId="236" fillId="0" borderId="0" xfId="0" applyFont="1" applyFill="1" applyBorder="1" applyAlignment="1" applyProtection="1">
      <alignment horizontal="left" vertical="top"/>
    </xf>
    <xf numFmtId="0" fontId="209" fillId="0" borderId="0" xfId="0" applyFont="1" applyFill="1" applyBorder="1" applyAlignment="1" applyProtection="1">
      <alignment vertical="center"/>
    </xf>
    <xf numFmtId="0" fontId="209" fillId="0" borderId="0" xfId="0" applyFont="1" applyFill="1" applyBorder="1" applyAlignment="1" applyProtection="1"/>
    <xf numFmtId="0" fontId="235"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0" fontId="241" fillId="0" borderId="0" xfId="0" applyFont="1" applyFill="1" applyBorder="1" applyAlignment="1" applyProtection="1">
      <alignmen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7" fontId="92" fillId="0" borderId="0" xfId="0" applyNumberFormat="1" applyFont="1" applyFill="1" applyBorder="1" applyAlignment="1" applyProtection="1">
      <alignment vertical="center" wrapText="1"/>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right" vertical="top"/>
    </xf>
    <xf numFmtId="0" fontId="209" fillId="0" borderId="0" xfId="0" applyFont="1" applyFill="1" applyBorder="1" applyAlignment="1" applyProtection="1">
      <alignment vertical="top"/>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45" fillId="0" borderId="0" xfId="0" applyFont="1" applyFill="1" applyBorder="1" applyAlignment="1" applyProtection="1">
      <alignment horizontal="center" vertical="center"/>
    </xf>
    <xf numFmtId="0" fontId="245" fillId="0" borderId="0" xfId="0" applyFont="1" applyFill="1" applyBorder="1" applyAlignment="1" applyProtection="1">
      <alignment horizontal="center" vertical="top"/>
    </xf>
    <xf numFmtId="0" fontId="92" fillId="0" borderId="0" xfId="0" applyFont="1" applyFill="1" applyBorder="1" applyAlignment="1" applyProtection="1">
      <alignment horizontal="center" vertical="top" wrapText="1"/>
    </xf>
    <xf numFmtId="0" fontId="96" fillId="0" borderId="0" xfId="0" applyFont="1" applyFill="1" applyBorder="1" applyAlignment="1" applyProtection="1">
      <alignment horizontal="left" vertical="center"/>
    </xf>
    <xf numFmtId="0" fontId="26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xf>
    <xf numFmtId="0" fontId="255"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48"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right" vertical="center"/>
    </xf>
    <xf numFmtId="9" fontId="93" fillId="0" borderId="0" xfId="10" applyFont="1" applyFill="1" applyBorder="1" applyAlignment="1" applyProtection="1">
      <alignment horizontal="center" vertical="top" wrapText="1"/>
    </xf>
    <xf numFmtId="38" fontId="96"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vertical="top" wrapText="1"/>
    </xf>
    <xf numFmtId="0" fontId="248" fillId="0" borderId="0" xfId="0" quotePrefix="1" applyFont="1" applyFill="1" applyBorder="1" applyAlignment="1" applyProtection="1"/>
    <xf numFmtId="0" fontId="248"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41" fillId="0" borderId="0" xfId="0" applyFont="1" applyFill="1" applyBorder="1" applyAlignment="1" applyProtection="1">
      <alignment horizontal="center"/>
    </xf>
    <xf numFmtId="0" fontId="264" fillId="0" borderId="0" xfId="0" applyFont="1" applyFill="1" applyBorder="1" applyProtection="1"/>
    <xf numFmtId="0" fontId="264"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4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0" fontId="246" fillId="0" borderId="0" xfId="0" applyFont="1" applyFill="1" applyBorder="1" applyAlignment="1" applyProtection="1">
      <alignment wrapText="1"/>
    </xf>
    <xf numFmtId="168" fontId="233" fillId="0" borderId="0" xfId="0" applyNumberFormat="1" applyFont="1" applyFill="1" applyBorder="1" applyAlignment="1" applyProtection="1">
      <alignment vertical="center"/>
    </xf>
    <xf numFmtId="0" fontId="266" fillId="0" borderId="0" xfId="0" applyFont="1" applyFill="1" applyBorder="1" applyAlignment="1" applyProtection="1">
      <alignment vertical="center"/>
    </xf>
    <xf numFmtId="0" fontId="232"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93" fillId="0" borderId="0" xfId="0" quotePrefix="1" applyFont="1" applyFill="1" applyBorder="1" applyAlignment="1" applyProtection="1">
      <alignment horizontal="left"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64" fillId="0" borderId="0" xfId="0" applyFont="1" applyFill="1" applyBorder="1" applyAlignment="1" applyProtection="1">
      <alignment vertical="top"/>
    </xf>
    <xf numFmtId="0" fontId="93" fillId="0" borderId="0" xfId="0" applyFont="1" applyFill="1" applyBorder="1" applyAlignment="1" applyProtection="1">
      <alignment horizontal="justify" vertical="center" wrapText="1"/>
    </xf>
    <xf numFmtId="0" fontId="93" fillId="0" borderId="0" xfId="0" applyFont="1" applyFill="1" applyBorder="1" applyAlignment="1" applyProtection="1">
      <alignment horizontal="left" wrapText="1"/>
    </xf>
    <xf numFmtId="0" fontId="113" fillId="0" borderId="0" xfId="0" applyFont="1" applyFill="1" applyBorder="1" applyProtection="1"/>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0" fontId="209"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96" fillId="0" borderId="0" xfId="0" quotePrefix="1" applyFont="1" applyFill="1" applyBorder="1" applyAlignment="1" applyProtection="1">
      <alignment horizontal="right"/>
    </xf>
    <xf numFmtId="0" fontId="209" fillId="0" borderId="0" xfId="0" applyFont="1" applyFill="1" applyBorder="1" applyAlignment="1" applyProtection="1">
      <alignment horizontal="left"/>
    </xf>
    <xf numFmtId="0" fontId="249" fillId="0" borderId="0" xfId="0" applyFont="1" applyFill="1" applyBorder="1" applyAlignment="1" applyProtection="1">
      <alignment horizontal="right" vertical="center"/>
    </xf>
    <xf numFmtId="0" fontId="95" fillId="0" borderId="0" xfId="0" applyNumberFormat="1" applyFont="1" applyFill="1" applyBorder="1" applyAlignment="1" applyProtection="1">
      <alignment vertical="center" wrapText="1"/>
    </xf>
    <xf numFmtId="0" fontId="209"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49" fontId="93" fillId="0" borderId="0" xfId="0" applyNumberFormat="1" applyFont="1" applyFill="1" applyBorder="1" applyAlignment="1" applyProtection="1">
      <alignment horizontal="left" vertical="center"/>
    </xf>
    <xf numFmtId="0" fontId="266"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174" fontId="93" fillId="0" borderId="0" xfId="0" applyNumberFormat="1" applyFont="1" applyFill="1" applyBorder="1" applyAlignment="1" applyProtection="1">
      <alignment vertical="center"/>
    </xf>
    <xf numFmtId="0" fontId="263" fillId="0" borderId="0" xfId="0" applyFont="1" applyFill="1" applyBorder="1" applyAlignment="1" applyProtection="1">
      <alignment horizontal="right" vertical="center"/>
    </xf>
    <xf numFmtId="167" fontId="93" fillId="0" borderId="0" xfId="0" applyNumberFormat="1" applyFont="1" applyFill="1" applyBorder="1" applyAlignment="1" applyProtection="1">
      <alignment horizontal="center" vertical="center"/>
    </xf>
    <xf numFmtId="0" fontId="249" fillId="0" borderId="0" xfId="0" applyFont="1" applyFill="1" applyBorder="1" applyAlignment="1" applyProtection="1">
      <alignment horizontal="right" vertical="top"/>
    </xf>
    <xf numFmtId="0" fontId="26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49" fontId="93" fillId="0" borderId="0" xfId="0" applyNumberFormat="1" applyFont="1" applyFill="1" applyBorder="1" applyAlignment="1" applyProtection="1">
      <alignment vertical="center"/>
    </xf>
    <xf numFmtId="0" fontId="269"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0" fontId="243" fillId="0" borderId="0" xfId="0" applyFont="1" applyFill="1" applyBorder="1" applyAlignment="1" applyProtection="1">
      <alignment wrapText="1"/>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49" fillId="0" borderId="0" xfId="0" applyFont="1" applyFill="1" applyBorder="1" applyProtection="1"/>
    <xf numFmtId="0" fontId="248" fillId="0" borderId="0" xfId="0" quotePrefix="1" applyFont="1" applyFill="1" applyBorder="1" applyAlignment="1" applyProtection="1">
      <alignment horizontal="lef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2"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49" fillId="0" borderId="0" xfId="0" applyFont="1" applyFill="1" applyBorder="1" applyAlignment="1" applyProtection="1"/>
    <xf numFmtId="0" fontId="261" fillId="0" borderId="0" xfId="0" applyFont="1" applyFill="1" applyBorder="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left" vertical="top"/>
    </xf>
    <xf numFmtId="0" fontId="252" fillId="0" borderId="0" xfId="0" applyFont="1" applyFill="1" applyBorder="1" applyProtection="1"/>
    <xf numFmtId="38" fontId="241" fillId="0" borderId="0" xfId="0" applyNumberFormat="1" applyFont="1" applyFill="1" applyBorder="1" applyAlignment="1" applyProtection="1">
      <alignment horizontal="center" vertical="center"/>
    </xf>
    <xf numFmtId="0" fontId="249"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12" fillId="0" borderId="28" xfId="0" applyFont="1" applyFill="1" applyBorder="1" applyAlignment="1" applyProtection="1">
      <alignment horizontal="center" vertical="center"/>
    </xf>
    <xf numFmtId="0" fontId="212"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9" fillId="0" borderId="0" xfId="13" applyFont="1" applyProtection="1"/>
    <xf numFmtId="0" fontId="185" fillId="0" borderId="0" xfId="13" applyFont="1" applyAlignment="1" applyProtection="1"/>
    <xf numFmtId="0" fontId="75" fillId="0" borderId="0" xfId="13" applyFont="1" applyAlignment="1" applyProtection="1"/>
    <xf numFmtId="0" fontId="186"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5"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31"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87" fillId="0" borderId="0" xfId="0" applyFont="1" applyFill="1" applyAlignment="1" applyProtection="1">
      <alignment horizontal="right"/>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11" fillId="0" borderId="85" xfId="1" applyNumberFormat="1" applyFont="1" applyFill="1" applyBorder="1" applyAlignment="1" applyProtection="1">
      <alignment horizontal="right" vertical="center" wrapText="1"/>
    </xf>
    <xf numFmtId="164" fontId="211"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11" fillId="0" borderId="80" xfId="0" applyFont="1" applyFill="1" applyBorder="1" applyAlignment="1" applyProtection="1">
      <alignment horizontal="center" vertical="center"/>
    </xf>
    <xf numFmtId="0" fontId="211" fillId="0" borderId="81" xfId="0" applyFont="1" applyFill="1" applyBorder="1" applyAlignment="1" applyProtection="1">
      <alignment horizontal="center" vertical="center"/>
    </xf>
    <xf numFmtId="2" fontId="187" fillId="0" borderId="9" xfId="0" applyNumberFormat="1" applyFont="1" applyFill="1" applyBorder="1" applyAlignment="1" applyProtection="1">
      <alignment horizontal="center" vertical="top"/>
    </xf>
    <xf numFmtId="2" fontId="187"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2" fillId="0" borderId="56" xfId="0" applyNumberFormat="1" applyFont="1" applyFill="1" applyBorder="1" applyAlignment="1" applyProtection="1">
      <alignment horizontal="center" vertical="center"/>
    </xf>
    <xf numFmtId="38" fontId="192" fillId="0" borderId="1" xfId="0" applyNumberFormat="1" applyFont="1" applyFill="1" applyBorder="1" applyAlignment="1" applyProtection="1">
      <alignment horizontal="center" vertical="center"/>
    </xf>
    <xf numFmtId="38" fontId="192"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2" fillId="0" borderId="43" xfId="0" applyNumberFormat="1" applyFont="1" applyFill="1" applyBorder="1" applyAlignment="1" applyProtection="1">
      <alignment horizontal="center" vertical="center" wrapText="1"/>
    </xf>
    <xf numFmtId="0" fontId="192" fillId="0" borderId="39" xfId="0" applyNumberFormat="1" applyFont="1" applyFill="1" applyBorder="1" applyAlignment="1" applyProtection="1">
      <alignment horizontal="center" vertical="center" wrapText="1"/>
    </xf>
    <xf numFmtId="0" fontId="192" fillId="0" borderId="42" xfId="0" applyNumberFormat="1" applyFont="1" applyFill="1" applyBorder="1" applyAlignment="1" applyProtection="1">
      <alignment horizontal="center" vertical="center" wrapText="1"/>
    </xf>
    <xf numFmtId="0" fontId="192"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13" fillId="20" borderId="62" xfId="0" applyFont="1" applyFill="1" applyBorder="1" applyAlignment="1" applyProtection="1">
      <alignment horizontal="center" vertical="center" wrapText="1"/>
    </xf>
    <xf numFmtId="0" fontId="213" fillId="20" borderId="70" xfId="0" applyFont="1" applyFill="1" applyBorder="1" applyAlignment="1" applyProtection="1">
      <alignment horizontal="center" vertical="center" wrapText="1"/>
    </xf>
    <xf numFmtId="0" fontId="213" fillId="20" borderId="63" xfId="0" applyFont="1" applyFill="1" applyBorder="1" applyAlignment="1" applyProtection="1">
      <alignment horizontal="center" vertical="center" wrapText="1"/>
    </xf>
    <xf numFmtId="0" fontId="213" fillId="20" borderId="44"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47" xfId="0" applyFont="1" applyFill="1" applyBorder="1" applyAlignment="1" applyProtection="1">
      <alignment horizontal="center" vertical="center" wrapText="1"/>
    </xf>
    <xf numFmtId="0" fontId="213" fillId="20" borderId="45" xfId="0" applyFont="1" applyFill="1" applyBorder="1" applyAlignment="1" applyProtection="1">
      <alignment horizontal="center" vertical="center" wrapText="1"/>
    </xf>
    <xf numFmtId="0" fontId="213" fillId="20" borderId="83" xfId="0" applyFont="1" applyFill="1" applyBorder="1" applyAlignment="1" applyProtection="1">
      <alignment horizontal="center" vertical="center" wrapText="1"/>
    </xf>
    <xf numFmtId="0" fontId="213"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2" fillId="0" borderId="80" xfId="0" applyNumberFormat="1" applyFont="1" applyFill="1" applyBorder="1" applyAlignment="1" applyProtection="1">
      <alignment horizontal="center" vertical="center" wrapText="1"/>
    </xf>
    <xf numFmtId="3" fontId="192" fillId="0" borderId="81" xfId="0" applyNumberFormat="1" applyFont="1" applyFill="1" applyBorder="1" applyAlignment="1" applyProtection="1">
      <alignment horizontal="center" vertical="center" wrapText="1"/>
    </xf>
    <xf numFmtId="3" fontId="192" fillId="0" borderId="9" xfId="0" applyNumberFormat="1" applyFont="1" applyFill="1" applyBorder="1" applyAlignment="1" applyProtection="1">
      <alignment horizontal="center" vertical="center" wrapText="1"/>
    </xf>
    <xf numFmtId="3" fontId="192"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86" xfId="0" applyFont="1" applyFill="1" applyBorder="1" applyAlignment="1" applyProtection="1">
      <alignment horizontal="left" vertical="center"/>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5" fillId="0" borderId="80" xfId="0" applyFont="1" applyFill="1" applyBorder="1" applyAlignment="1" applyProtection="1">
      <alignment horizontal="center" vertical="center" wrapText="1"/>
    </xf>
    <xf numFmtId="0" fontId="195" fillId="0" borderId="85" xfId="0" applyFont="1" applyFill="1" applyBorder="1" applyAlignment="1" applyProtection="1">
      <alignment horizontal="center" vertical="center" wrapText="1"/>
    </xf>
    <xf numFmtId="0" fontId="195" fillId="0" borderId="81" xfId="0" applyFont="1" applyFill="1" applyBorder="1" applyAlignment="1" applyProtection="1">
      <alignment horizontal="center" vertical="center" wrapText="1"/>
    </xf>
    <xf numFmtId="0" fontId="195" fillId="0" borderId="7" xfId="0" applyFont="1" applyFill="1" applyBorder="1" applyAlignment="1" applyProtection="1">
      <alignment horizontal="center" vertical="center" wrapText="1"/>
    </xf>
    <xf numFmtId="0" fontId="195" fillId="0" borderId="0" xfId="0" applyFont="1" applyFill="1" applyBorder="1" applyAlignment="1" applyProtection="1">
      <alignment horizontal="center" vertical="center" wrapText="1"/>
    </xf>
    <xf numFmtId="0" fontId="195" fillId="0" borderId="8" xfId="0" applyFont="1" applyFill="1" applyBorder="1" applyAlignment="1" applyProtection="1">
      <alignment horizontal="center" vertical="center" wrapText="1"/>
    </xf>
    <xf numFmtId="0" fontId="195" fillId="0" borderId="9" xfId="0" applyFont="1" applyFill="1" applyBorder="1" applyAlignment="1" applyProtection="1">
      <alignment horizontal="center" vertical="center" wrapText="1"/>
    </xf>
    <xf numFmtId="0" fontId="195" fillId="0" borderId="13" xfId="0" applyFont="1" applyFill="1" applyBorder="1" applyAlignment="1" applyProtection="1">
      <alignment horizontal="center" vertical="center" wrapText="1"/>
    </xf>
    <xf numFmtId="0" fontId="195"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26"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4" fontId="3" fillId="10" borderId="17" xfId="0" applyNumberFormat="1" applyFont="1" applyFill="1" applyBorder="1" applyAlignment="1" applyProtection="1">
      <alignment horizontal="center" vertical="top"/>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1"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3" fillId="0" borderId="0" xfId="13" applyFont="1" applyAlignment="1">
      <alignment horizontal="center"/>
    </xf>
    <xf numFmtId="0" fontId="202"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4"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1"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81">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6" customWidth="1"/>
    <col min="2" max="16384" width="9.109375" style="26"/>
  </cols>
  <sheetData>
    <row r="1" spans="1:6" ht="15" customHeight="1">
      <c r="A1" s="862" t="s">
        <v>966</v>
      </c>
    </row>
    <row r="2" spans="1:6" ht="15" customHeight="1">
      <c r="A2" s="863" t="str">
        <f>'Part I-Project Information'!F34</f>
        <v>Haven at South Atlanta</v>
      </c>
    </row>
    <row r="3" spans="1:6" ht="15" customHeight="1">
      <c r="A3" s="863" t="str">
        <f>CONCATENATE('Part I-Project Information'!F38,", ", 'Part I-Project Information'!J39," County")</f>
        <v>Atlanta, Fulton County</v>
      </c>
    </row>
    <row r="4" spans="1:6" ht="12" customHeight="1">
      <c r="A4" s="1437"/>
    </row>
    <row r="5" spans="1:6" ht="72" customHeight="1">
      <c r="A5" s="2537" t="s">
        <v>4818</v>
      </c>
      <c r="B5" s="2538" t="s">
        <v>4714</v>
      </c>
      <c r="C5" s="2538"/>
      <c r="D5" s="2538"/>
      <c r="E5" s="2538"/>
      <c r="F5" s="2538"/>
    </row>
    <row r="6" spans="1:6" ht="6.6" customHeight="1">
      <c r="A6" s="2537"/>
      <c r="B6" s="2538"/>
      <c r="C6" s="2538"/>
      <c r="D6" s="2538"/>
      <c r="E6" s="2538"/>
      <c r="F6" s="2538"/>
    </row>
    <row r="7" spans="1:6" ht="72" customHeight="1">
      <c r="A7" s="2537"/>
      <c r="B7" s="2538"/>
      <c r="C7" s="2538"/>
      <c r="D7" s="2538"/>
      <c r="E7" s="2538"/>
      <c r="F7" s="2538"/>
    </row>
    <row r="8" spans="1:6" ht="6.6" customHeight="1">
      <c r="A8" s="2537"/>
    </row>
    <row r="9" spans="1:6" ht="72" customHeight="1">
      <c r="A9" s="2537"/>
    </row>
    <row r="10" spans="1:6" ht="6.6" customHeight="1">
      <c r="A10" s="2537"/>
    </row>
    <row r="11" spans="1:6" ht="72" customHeight="1">
      <c r="A11" s="2537"/>
    </row>
    <row r="12" spans="1:6" ht="6.6" customHeight="1">
      <c r="A12" s="2537"/>
    </row>
    <row r="13" spans="1:6" ht="72" customHeight="1">
      <c r="A13" s="2537"/>
    </row>
    <row r="14" spans="1:6" ht="6.6" customHeight="1">
      <c r="A14" s="2537"/>
    </row>
    <row r="15" spans="1:6" ht="72" customHeight="1">
      <c r="A15" s="2537"/>
    </row>
    <row r="16" spans="1:6" ht="6.6" customHeight="1">
      <c r="A16" s="2537"/>
    </row>
    <row r="17" spans="1:1" ht="72" customHeight="1">
      <c r="A17" s="2537"/>
    </row>
    <row r="18" spans="1:1" ht="6.6" customHeight="1">
      <c r="A18" s="2537"/>
    </row>
    <row r="19" spans="1:1" ht="72" customHeight="1">
      <c r="A19" s="2537"/>
    </row>
    <row r="20" spans="1:1" ht="6.6" customHeight="1">
      <c r="A20" s="2537"/>
    </row>
    <row r="21" spans="1:1" ht="72" customHeight="1">
      <c r="A21" s="2537"/>
    </row>
    <row r="22" spans="1:1" ht="6.6" customHeight="1">
      <c r="A22" s="2537"/>
    </row>
    <row r="23" spans="1:1" ht="72" customHeight="1">
      <c r="A23" s="2537"/>
    </row>
  </sheetData>
  <sheetProtection algorithmName="SHA-512" hashValue="IsE8NQ2rThDh/lW+tB2Ghw23hzYYoF+uKt98ktqqJScxTV11cd/aepYw6QH+o63PUc4ORrQwS1TyxWmHW49Gqg==" saltValue="UfQDx5OnbsWTGooFwmqufw=="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20" zoomScaleNormal="120" workbookViewId="0">
      <selection sqref="A1:XFD1048576"/>
    </sheetView>
  </sheetViews>
  <sheetFormatPr defaultColWidth="9.109375" defaultRowHeight="13.8"/>
  <cols>
    <col min="1" max="1" width="3.109375" style="312" customWidth="1"/>
    <col min="2" max="2" width="2.109375" style="332" customWidth="1"/>
    <col min="3" max="16" width="8.88671875" style="312" customWidth="1"/>
    <col min="17" max="16384" width="9.109375" style="312"/>
  </cols>
  <sheetData>
    <row r="1" spans="1:16" s="294" customFormat="1" ht="14.1" customHeight="1">
      <c r="A1" s="2688" t="str">
        <f>CONCATENATE("PART ONE - PROJECT INFORMATION"," - ",$O$6," ",$F$34,", ",'Part I-Project Information'!F38,", ",'Part I-Project Information'!J39," County")</f>
        <v>PART ONE - PROJECT INFORMATION - 2019-063 Haven at South Atlanta, Atlanta, Fulton County</v>
      </c>
      <c r="B1" s="2689"/>
      <c r="C1" s="2689"/>
      <c r="D1" s="2689"/>
      <c r="E1" s="2689"/>
      <c r="F1" s="2689"/>
      <c r="G1" s="2689"/>
      <c r="H1" s="2689"/>
      <c r="I1" s="2689"/>
      <c r="J1" s="2689"/>
      <c r="K1" s="2689"/>
      <c r="L1" s="2689"/>
      <c r="M1" s="2689"/>
      <c r="N1" s="2689"/>
      <c r="O1" s="2689"/>
      <c r="P1" s="2690"/>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705" t="s">
        <v>4249</v>
      </c>
      <c r="B3" s="2705"/>
      <c r="C3" s="2705"/>
      <c r="D3" s="2705"/>
      <c r="E3" s="2705"/>
      <c r="F3" s="2705"/>
      <c r="G3" s="2705"/>
      <c r="H3" s="2705"/>
      <c r="I3" s="2705"/>
      <c r="J3" s="2705"/>
      <c r="K3" s="2705"/>
      <c r="L3" s="2705"/>
      <c r="M3" s="2705"/>
      <c r="N3" s="2705"/>
      <c r="O3" s="2705"/>
      <c r="P3" s="2705"/>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1720" t="s">
        <v>2335</v>
      </c>
      <c r="F5" s="295"/>
      <c r="G5" s="270" t="s">
        <v>4534</v>
      </c>
      <c r="L5" s="878"/>
      <c r="P5" s="1078" t="s">
        <v>3739</v>
      </c>
    </row>
    <row r="6" spans="1:16" s="294" customFormat="1" ht="12" customHeight="1" thickBot="1">
      <c r="B6" s="2706" t="s">
        <v>4801</v>
      </c>
      <c r="C6" s="2706"/>
      <c r="D6" s="2706"/>
      <c r="E6" s="1288"/>
      <c r="F6" s="297"/>
      <c r="G6" s="270" t="s">
        <v>4533</v>
      </c>
      <c r="H6" s="1729"/>
      <c r="I6" s="1729"/>
      <c r="J6" s="1729"/>
      <c r="O6" s="2691" t="s">
        <v>5014</v>
      </c>
      <c r="P6" s="2692"/>
    </row>
    <row r="7" spans="1:16" s="294" customFormat="1" ht="12" customHeight="1">
      <c r="B7" s="2706"/>
      <c r="C7" s="2706"/>
      <c r="D7" s="2706"/>
      <c r="E7" s="1288"/>
      <c r="F7" s="521"/>
      <c r="G7" s="172" t="s">
        <v>3261</v>
      </c>
      <c r="H7" s="1729"/>
      <c r="I7" s="1729"/>
      <c r="J7" s="1729"/>
    </row>
    <row r="8" spans="1:16" s="294" customFormat="1" ht="6" customHeight="1">
      <c r="A8" s="480"/>
      <c r="B8" s="2706"/>
      <c r="C8" s="2706"/>
      <c r="D8" s="2706"/>
      <c r="E8" s="1729"/>
      <c r="H8" s="1729"/>
      <c r="I8" s="1729"/>
      <c r="M8" s="1729"/>
    </row>
    <row r="9" spans="1:16" s="294" customFormat="1" ht="13.35" customHeight="1">
      <c r="A9" s="296" t="s">
        <v>605</v>
      </c>
      <c r="B9" s="296" t="s">
        <v>2346</v>
      </c>
      <c r="D9" s="271"/>
      <c r="E9" s="298"/>
      <c r="F9" s="1718" t="s">
        <v>3682</v>
      </c>
      <c r="I9" s="2693">
        <f>'Part IV-A-Uses of Funds'!$J$175</f>
        <v>858241</v>
      </c>
      <c r="J9" s="2694"/>
      <c r="L9" s="294" t="s">
        <v>3683</v>
      </c>
      <c r="O9" s="2695">
        <f>'Part III-Sources of Funds'!$H$5</f>
        <v>0</v>
      </c>
      <c r="P9" s="2696"/>
    </row>
    <row r="10" spans="1:16" s="294" customFormat="1" ht="6" customHeight="1">
      <c r="A10" s="296"/>
      <c r="B10" s="296"/>
      <c r="D10" s="271"/>
      <c r="E10" s="298"/>
      <c r="F10" s="298"/>
      <c r="I10" s="299"/>
      <c r="N10" s="300"/>
    </row>
    <row r="11" spans="1:16" s="294" customFormat="1" ht="13.35" customHeight="1">
      <c r="A11" s="299" t="s">
        <v>729</v>
      </c>
      <c r="B11" s="296" t="s">
        <v>2014</v>
      </c>
      <c r="F11" s="2639" t="s">
        <v>4703</v>
      </c>
      <c r="G11" s="2640"/>
      <c r="H11" s="2641"/>
      <c r="I11" s="2255" t="s">
        <v>3613</v>
      </c>
      <c r="J11" s="502" t="s">
        <v>4737</v>
      </c>
      <c r="K11" s="304"/>
      <c r="L11" s="1729"/>
      <c r="O11" s="2697" t="s">
        <v>4802</v>
      </c>
      <c r="P11" s="2698"/>
    </row>
    <row r="12" spans="1:16" s="294" customFormat="1" ht="12.75" customHeight="1">
      <c r="A12" s="480"/>
      <c r="B12" s="1670"/>
      <c r="C12" s="1670"/>
      <c r="D12" s="1670"/>
      <c r="E12" s="1670"/>
      <c r="H12" s="1729"/>
      <c r="J12" s="1220" t="s">
        <v>4716</v>
      </c>
      <c r="K12" s="1720"/>
      <c r="M12" s="1729"/>
      <c r="O12" s="2707" t="s">
        <v>2936</v>
      </c>
      <c r="P12" s="2708"/>
    </row>
    <row r="13" spans="1:16" s="294" customFormat="1" ht="3" customHeight="1">
      <c r="A13" s="480"/>
      <c r="B13" s="1670"/>
      <c r="C13" s="1670"/>
      <c r="D13" s="1670"/>
      <c r="E13" s="1670"/>
      <c r="H13" s="1729"/>
      <c r="J13" s="503"/>
      <c r="K13" s="1720"/>
      <c r="M13" s="1729"/>
    </row>
    <row r="14" spans="1:16" s="294" customFormat="1" ht="12.75" customHeight="1">
      <c r="A14" s="480"/>
      <c r="B14" s="1670" t="s">
        <v>4717</v>
      </c>
      <c r="C14" s="1670"/>
      <c r="D14" s="1670"/>
      <c r="E14" s="1670"/>
      <c r="F14" s="2256" t="s">
        <v>2936</v>
      </c>
      <c r="G14" s="1721" t="s">
        <v>4718</v>
      </c>
      <c r="N14" s="2639" t="s">
        <v>4719</v>
      </c>
      <c r="O14" s="2640"/>
      <c r="P14" s="2641"/>
    </row>
    <row r="15" spans="1:16" s="294" customFormat="1" ht="12.75" customHeight="1">
      <c r="A15" s="480"/>
      <c r="B15" s="294" t="s">
        <v>3740</v>
      </c>
      <c r="D15" s="304"/>
      <c r="F15" s="2625"/>
      <c r="G15" s="2642"/>
      <c r="H15" s="2642"/>
      <c r="I15" s="2642"/>
      <c r="J15" s="2642"/>
      <c r="K15" s="2643"/>
      <c r="L15" s="294" t="s">
        <v>4704</v>
      </c>
      <c r="O15" s="2644"/>
      <c r="P15" s="2645"/>
    </row>
    <row r="16" spans="1:16" s="294" customFormat="1" ht="12.75" customHeight="1">
      <c r="A16" s="480"/>
      <c r="B16" s="294" t="s">
        <v>3681</v>
      </c>
      <c r="F16" s="2256"/>
      <c r="G16" s="294" t="s">
        <v>4705</v>
      </c>
      <c r="H16" s="1729"/>
      <c r="I16" s="172"/>
      <c r="J16" s="503"/>
      <c r="N16" s="2647" t="s">
        <v>2828</v>
      </c>
      <c r="O16" s="2648"/>
      <c r="P16" s="2649"/>
    </row>
    <row r="17" spans="1:16" s="294" customFormat="1" ht="6" customHeight="1">
      <c r="I17" s="271"/>
      <c r="J17" s="271"/>
      <c r="K17" s="271"/>
      <c r="L17" s="271"/>
      <c r="M17" s="271"/>
      <c r="N17" s="271"/>
      <c r="O17" s="271"/>
      <c r="P17" s="271"/>
    </row>
    <row r="18" spans="1:16" s="294" customFormat="1" ht="13.35" customHeight="1">
      <c r="A18" s="299" t="s">
        <v>731</v>
      </c>
      <c r="B18" s="296" t="s">
        <v>4268</v>
      </c>
      <c r="D18" s="1718"/>
      <c r="E18" s="298"/>
      <c r="G18" s="301"/>
      <c r="H18" s="301"/>
      <c r="I18" s="301"/>
      <c r="L18" s="300"/>
    </row>
    <row r="19" spans="1:16" s="294" customFormat="1" ht="1.5" customHeight="1">
      <c r="A19" s="299"/>
      <c r="B19" s="298"/>
      <c r="C19" s="296"/>
      <c r="D19" s="1718"/>
      <c r="E19" s="298"/>
      <c r="G19" s="301"/>
      <c r="H19" s="301"/>
      <c r="I19" s="301"/>
      <c r="K19" s="300"/>
      <c r="L19" s="300"/>
      <c r="O19" s="878"/>
    </row>
    <row r="20" spans="1:16" s="294" customFormat="1" ht="13.35" customHeight="1">
      <c r="B20" s="294" t="s">
        <v>3747</v>
      </c>
      <c r="F20" s="2559" t="s">
        <v>4807</v>
      </c>
      <c r="G20" s="2560"/>
      <c r="H20" s="2561"/>
      <c r="I20" s="294" t="s">
        <v>1775</v>
      </c>
      <c r="J20" s="2559" t="s">
        <v>5005</v>
      </c>
      <c r="K20" s="2560"/>
      <c r="L20" s="2561"/>
      <c r="M20" s="327" t="s">
        <v>1954</v>
      </c>
      <c r="N20" s="2644" t="s">
        <v>4839</v>
      </c>
      <c r="O20" s="2656"/>
      <c r="P20" s="2645"/>
    </row>
    <row r="21" spans="1:16" s="294" customFormat="1" ht="13.35" customHeight="1">
      <c r="B21" s="1718" t="s">
        <v>1955</v>
      </c>
      <c r="F21" s="2627" t="s">
        <v>4822</v>
      </c>
      <c r="G21" s="2699"/>
      <c r="H21" s="2699"/>
      <c r="I21" s="2700"/>
      <c r="J21" s="2699"/>
      <c r="K21" s="2699"/>
      <c r="L21" s="2701"/>
      <c r="M21" s="2702" t="s">
        <v>3746</v>
      </c>
      <c r="N21" s="2703"/>
      <c r="O21" s="2703"/>
      <c r="P21" s="2703"/>
    </row>
    <row r="22" spans="1:16" s="294" customFormat="1" ht="13.35" customHeight="1">
      <c r="B22" s="1718" t="s">
        <v>607</v>
      </c>
      <c r="F22" s="2627" t="s">
        <v>1226</v>
      </c>
      <c r="G22" s="2567"/>
      <c r="H22" s="2629"/>
      <c r="I22" s="1718" t="s">
        <v>1776</v>
      </c>
      <c r="J22" s="2257" t="s">
        <v>1339</v>
      </c>
      <c r="M22" s="2702"/>
      <c r="N22" s="2702"/>
      <c r="O22" s="2702"/>
      <c r="P22" s="2702"/>
    </row>
    <row r="23" spans="1:16" s="294" customFormat="1" ht="13.35" customHeight="1">
      <c r="B23" s="1721" t="s">
        <v>2201</v>
      </c>
      <c r="F23" s="2677">
        <v>187043535</v>
      </c>
      <c r="G23" s="2704"/>
      <c r="H23" s="2678"/>
      <c r="I23" s="1718" t="s">
        <v>1699</v>
      </c>
      <c r="J23" s="2646">
        <v>2673868668</v>
      </c>
      <c r="K23" s="2558"/>
      <c r="L23" s="1733" t="s">
        <v>1698</v>
      </c>
      <c r="M23" s="2258"/>
      <c r="N23" s="1721" t="s">
        <v>1700</v>
      </c>
      <c r="O23" s="2556">
        <v>2673868668</v>
      </c>
      <c r="P23" s="2558"/>
    </row>
    <row r="24" spans="1:16" s="294" customFormat="1" ht="13.35" customHeight="1">
      <c r="B24" s="1721" t="s">
        <v>1958</v>
      </c>
      <c r="F24" s="2564" t="s">
        <v>4827</v>
      </c>
      <c r="G24" s="2565"/>
      <c r="H24" s="2565"/>
      <c r="I24" s="2656"/>
      <c r="J24" s="2565"/>
      <c r="K24" s="2566"/>
      <c r="N24" s="1721" t="s">
        <v>1953</v>
      </c>
      <c r="O24" s="2621">
        <v>2673868668</v>
      </c>
      <c r="P24" s="2623"/>
    </row>
    <row r="25" spans="1:16" s="294" customFormat="1" ht="13.5" customHeight="1">
      <c r="A25" s="480"/>
      <c r="B25" s="296" t="s">
        <v>4267</v>
      </c>
      <c r="C25" s="302"/>
      <c r="D25" s="1726"/>
      <c r="E25" s="1726"/>
      <c r="F25" s="1726"/>
      <c r="H25" s="1729"/>
      <c r="I25" s="1726"/>
      <c r="J25" s="302"/>
      <c r="K25" s="1726"/>
      <c r="P25" s="303"/>
    </row>
    <row r="26" spans="1:16" s="294" customFormat="1" ht="13.35" customHeight="1">
      <c r="B26" s="294" t="s">
        <v>3747</v>
      </c>
      <c r="F26" s="2559" t="s">
        <v>4807</v>
      </c>
      <c r="G26" s="2560"/>
      <c r="H26" s="2561"/>
      <c r="I26" s="294" t="s">
        <v>1775</v>
      </c>
      <c r="J26" s="2559" t="s">
        <v>4805</v>
      </c>
      <c r="K26" s="2560"/>
      <c r="L26" s="2561"/>
      <c r="M26" s="327" t="s">
        <v>1954</v>
      </c>
      <c r="N26" s="2644" t="s">
        <v>4806</v>
      </c>
      <c r="O26" s="2656"/>
      <c r="P26" s="2645"/>
    </row>
    <row r="27" spans="1:16" s="294" customFormat="1" ht="13.35" customHeight="1">
      <c r="B27" s="1718" t="s">
        <v>1955</v>
      </c>
      <c r="F27" s="2627" t="s">
        <v>4803</v>
      </c>
      <c r="G27" s="2567"/>
      <c r="H27" s="2567"/>
      <c r="I27" s="2628"/>
      <c r="J27" s="2567"/>
      <c r="K27" s="2628"/>
      <c r="L27" s="2596"/>
      <c r="M27" s="2702" t="s">
        <v>3746</v>
      </c>
      <c r="N27" s="2703"/>
      <c r="O27" s="2703"/>
      <c r="P27" s="2703"/>
    </row>
    <row r="28" spans="1:16" s="294" customFormat="1" ht="13.35" customHeight="1">
      <c r="B28" s="1718" t="s">
        <v>607</v>
      </c>
      <c r="F28" s="2627" t="s">
        <v>1190</v>
      </c>
      <c r="G28" s="2567"/>
      <c r="H28" s="2629"/>
      <c r="I28" s="1718" t="s">
        <v>1776</v>
      </c>
      <c r="J28" s="2257" t="s">
        <v>836</v>
      </c>
      <c r="M28" s="2702"/>
      <c r="N28" s="2702"/>
      <c r="O28" s="2702"/>
      <c r="P28" s="2702"/>
    </row>
    <row r="29" spans="1:16" s="294" customFormat="1" ht="13.35" customHeight="1">
      <c r="B29" s="1721" t="s">
        <v>2201</v>
      </c>
      <c r="F29" s="2677">
        <v>303081884</v>
      </c>
      <c r="G29" s="2704"/>
      <c r="H29" s="2678"/>
      <c r="I29" s="1718" t="s">
        <v>1699</v>
      </c>
      <c r="J29" s="2646">
        <v>4705852413</v>
      </c>
      <c r="K29" s="2558"/>
      <c r="L29" s="1733" t="s">
        <v>1698</v>
      </c>
      <c r="M29" s="2258"/>
      <c r="N29" s="1721" t="s">
        <v>1700</v>
      </c>
      <c r="O29" s="2556">
        <v>4705852413</v>
      </c>
      <c r="P29" s="2558"/>
    </row>
    <row r="30" spans="1:16" s="294" customFormat="1" ht="13.35" customHeight="1">
      <c r="B30" s="1721" t="s">
        <v>1958</v>
      </c>
      <c r="F30" s="2564" t="s">
        <v>4804</v>
      </c>
      <c r="G30" s="2565"/>
      <c r="H30" s="2565"/>
      <c r="I30" s="2656"/>
      <c r="J30" s="2565"/>
      <c r="K30" s="2566"/>
      <c r="N30" s="1721" t="s">
        <v>1953</v>
      </c>
      <c r="O30" s="2621">
        <v>4705852413</v>
      </c>
      <c r="P30" s="2623"/>
    </row>
    <row r="31" spans="1:16" s="294" customFormat="1" ht="6" customHeight="1">
      <c r="A31" s="480"/>
      <c r="B31" s="480"/>
      <c r="C31" s="302"/>
      <c r="D31" s="1726"/>
      <c r="E31" s="1726"/>
      <c r="F31" s="1726"/>
      <c r="H31" s="1729"/>
      <c r="I31" s="1726"/>
      <c r="J31" s="302"/>
      <c r="K31" s="1726"/>
      <c r="P31" s="303"/>
    </row>
    <row r="32" spans="1:16" s="294" customFormat="1" ht="13.35" customHeight="1">
      <c r="A32" s="299" t="s">
        <v>1770</v>
      </c>
      <c r="B32" s="296" t="s">
        <v>1456</v>
      </c>
      <c r="D32" s="271"/>
      <c r="E32" s="298"/>
      <c r="F32" s="298"/>
      <c r="G32" s="1718"/>
      <c r="H32" s="298"/>
      <c r="I32" s="298"/>
      <c r="J32" s="301"/>
      <c r="L32" s="300"/>
      <c r="M32" s="300"/>
    </row>
    <row r="33" spans="1:16" s="294" customFormat="1" ht="1.5" customHeight="1">
      <c r="A33" s="299"/>
      <c r="B33" s="296"/>
      <c r="D33" s="271"/>
      <c r="E33" s="298"/>
      <c r="F33" s="298"/>
      <c r="G33" s="1718"/>
      <c r="H33" s="298"/>
      <c r="I33" s="298"/>
      <c r="J33" s="301"/>
      <c r="L33" s="300"/>
    </row>
    <row r="34" spans="1:16" s="294" customFormat="1" ht="13.35" customHeight="1">
      <c r="A34" s="296"/>
      <c r="B34" s="294" t="s">
        <v>606</v>
      </c>
      <c r="D34" s="304"/>
      <c r="F34" s="2681" t="s">
        <v>4808</v>
      </c>
      <c r="G34" s="2682"/>
      <c r="H34" s="2682"/>
      <c r="I34" s="2682"/>
      <c r="J34" s="2682"/>
      <c r="K34" s="2683"/>
      <c r="L34" s="1721" t="s">
        <v>2165</v>
      </c>
      <c r="O34" s="2559" t="s">
        <v>2936</v>
      </c>
      <c r="P34" s="2561"/>
    </row>
    <row r="35" spans="1:16" s="294" customFormat="1" ht="13.35" customHeight="1">
      <c r="A35" s="305"/>
      <c r="B35" s="294" t="s">
        <v>2661</v>
      </c>
      <c r="D35" s="306"/>
      <c r="F35" s="2553" t="s">
        <v>4809</v>
      </c>
      <c r="G35" s="2554"/>
      <c r="H35" s="2554"/>
      <c r="I35" s="2554"/>
      <c r="J35" s="2554"/>
      <c r="K35" s="2555"/>
      <c r="L35" s="294" t="s">
        <v>3583</v>
      </c>
      <c r="O35" s="2595"/>
      <c r="P35" s="2629"/>
    </row>
    <row r="36" spans="1:16" s="294" customFormat="1" ht="13.35" customHeight="1">
      <c r="A36" s="305"/>
      <c r="B36" s="294" t="s">
        <v>2690</v>
      </c>
      <c r="D36" s="306"/>
      <c r="F36" s="2595"/>
      <c r="G36" s="2567"/>
      <c r="H36" s="2567"/>
      <c r="I36" s="2628"/>
      <c r="J36" s="2567"/>
      <c r="K36" s="2629"/>
      <c r="L36" s="1721" t="s">
        <v>2024</v>
      </c>
      <c r="N36" s="2258" t="s">
        <v>2936</v>
      </c>
      <c r="O36" s="1729" t="s">
        <v>3582</v>
      </c>
      <c r="P36" s="2259"/>
    </row>
    <row r="37" spans="1:16" s="294" customFormat="1" ht="13.35" customHeight="1">
      <c r="A37" s="305"/>
      <c r="B37" s="294" t="s">
        <v>3631</v>
      </c>
      <c r="D37" s="306"/>
      <c r="F37" s="294" t="s">
        <v>3614</v>
      </c>
      <c r="G37" s="2675">
        <v>33.709698000000003</v>
      </c>
      <c r="H37" s="2676"/>
      <c r="I37" s="1733" t="s">
        <v>3615</v>
      </c>
      <c r="J37" s="2675">
        <v>-84.384882000000005</v>
      </c>
      <c r="K37" s="2676"/>
      <c r="L37" s="1721" t="s">
        <v>2254</v>
      </c>
      <c r="O37" s="2684">
        <v>3.8856000000000002</v>
      </c>
      <c r="P37" s="2685"/>
    </row>
    <row r="38" spans="1:16" s="294" customFormat="1" ht="13.35" customHeight="1">
      <c r="A38" s="480"/>
      <c r="B38" s="294" t="s">
        <v>607</v>
      </c>
      <c r="F38" s="2559" t="s">
        <v>1190</v>
      </c>
      <c r="G38" s="2686"/>
      <c r="H38" s="2687"/>
      <c r="I38" s="310" t="s">
        <v>2662</v>
      </c>
      <c r="J38" s="2677">
        <v>303150000</v>
      </c>
      <c r="K38" s="2678"/>
      <c r="L38" s="365" t="str">
        <f>IF(AND(NOT(F34=""),NOT(F38="Select from list"),J38=""),"Enter Zip!","")</f>
        <v/>
      </c>
      <c r="M38" s="308" t="s">
        <v>2849</v>
      </c>
      <c r="O38" s="2679" t="s">
        <v>4811</v>
      </c>
      <c r="P38" s="2680"/>
    </row>
    <row r="39" spans="1:16" s="294" customFormat="1" ht="13.35" customHeight="1">
      <c r="A39" s="480"/>
      <c r="B39" s="1726" t="s">
        <v>3497</v>
      </c>
      <c r="D39" s="1726"/>
      <c r="F39" s="2595" t="s">
        <v>4810</v>
      </c>
      <c r="G39" s="2628"/>
      <c r="H39" s="2596"/>
      <c r="I39" s="307" t="s">
        <v>608</v>
      </c>
      <c r="J39" s="2715" t="str">
        <f>IF($F$38="","",VLOOKUP($F$38,'DCA Underwriting Assumptions'!$T$158:$U$786,2,FALSE))</f>
        <v>Fulton</v>
      </c>
      <c r="K39" s="2716"/>
      <c r="M39" s="1721" t="s">
        <v>447</v>
      </c>
      <c r="N39" s="2260" t="s">
        <v>2933</v>
      </c>
      <c r="O39" s="1729" t="s">
        <v>448</v>
      </c>
      <c r="P39" s="2261" t="s">
        <v>2936</v>
      </c>
    </row>
    <row r="40" spans="1:16" s="294" customFormat="1" ht="13.35" customHeight="1">
      <c r="A40" s="480"/>
      <c r="B40" s="296"/>
      <c r="C40" s="294" t="s">
        <v>1539</v>
      </c>
      <c r="F40" s="2262" t="s">
        <v>2936</v>
      </c>
      <c r="G40" s="2717" t="s">
        <v>2735</v>
      </c>
      <c r="H40" s="2718"/>
      <c r="I40" s="509" t="str">
        <f>IF($J$39="","",IF(VLOOKUP($J$39,'DCA Underwriting Assumptions'!G158:M317,7,FALSE)="Rural","Yes",IF(VLOOKUP($J$39,'DCA Underwriting Assumptions'!G158:M317,7,FALSE)="Urban","No","")))</f>
        <v>No</v>
      </c>
      <c r="J40" s="1733" t="s">
        <v>2753</v>
      </c>
      <c r="K40" s="1733" t="str">
        <f>IF(OR(F40="Yes",I40="Yes"),"Rural","Urban")</f>
        <v>Urban</v>
      </c>
      <c r="M40" s="1721" t="s">
        <v>2577</v>
      </c>
      <c r="N40" s="421" t="str">
        <f>VLOOKUP($J$39,'DCA Underwriting Assumptions'!$G$158:$J$317,4)</f>
        <v>MSA</v>
      </c>
      <c r="O40" s="2719" t="str">
        <f>IF($F$38="","",VLOOKUP($J$39,'DCA Underwriting Assumptions'!$G$158:$L$317,3,FALSE))</f>
        <v>Atlanta-Sandy Springs-Marietta</v>
      </c>
      <c r="P40" s="2720"/>
    </row>
    <row r="41" spans="1:16" s="294" customFormat="1" ht="6" customHeight="1">
      <c r="A41" s="480"/>
      <c r="B41" s="296"/>
      <c r="C41" s="296"/>
      <c r="I41" s="1718"/>
      <c r="J41" s="1726"/>
      <c r="L41" s="1738"/>
      <c r="M41" s="1738"/>
      <c r="N41" s="1738"/>
      <c r="O41" s="1738"/>
      <c r="P41" s="1738"/>
    </row>
    <row r="42" spans="1:16" s="294" customFormat="1" ht="13.35" customHeight="1">
      <c r="A42" s="480"/>
      <c r="C42" s="294" t="s">
        <v>2699</v>
      </c>
      <c r="F42" s="2721" t="s">
        <v>2717</v>
      </c>
      <c r="G42" s="2721"/>
      <c r="H42" s="2722" t="s">
        <v>725</v>
      </c>
      <c r="I42" s="2722"/>
      <c r="J42" s="2722" t="s">
        <v>726</v>
      </c>
      <c r="K42" s="2722"/>
      <c r="L42" s="496" t="s">
        <v>4608</v>
      </c>
    </row>
    <row r="43" spans="1:16" s="294" customFormat="1" ht="13.35" customHeight="1">
      <c r="A43" s="480"/>
      <c r="B43" s="294" t="s">
        <v>2716</v>
      </c>
      <c r="D43" s="296"/>
      <c r="F43" s="2709">
        <v>5</v>
      </c>
      <c r="G43" s="2710"/>
      <c r="H43" s="2709">
        <v>36</v>
      </c>
      <c r="I43" s="2710"/>
      <c r="J43" s="2709">
        <v>59</v>
      </c>
      <c r="K43" s="2710"/>
      <c r="L43" s="492" t="s">
        <v>1268</v>
      </c>
      <c r="N43" s="2711" t="s">
        <v>1269</v>
      </c>
      <c r="O43" s="2711"/>
      <c r="P43" s="2711"/>
    </row>
    <row r="44" spans="1:16" s="294" customFormat="1" ht="12.75" customHeight="1">
      <c r="A44" s="480"/>
      <c r="B44" s="1718" t="s">
        <v>727</v>
      </c>
      <c r="F44" s="2712"/>
      <c r="G44" s="2713"/>
      <c r="H44" s="2712"/>
      <c r="I44" s="2713"/>
      <c r="J44" s="2712"/>
      <c r="K44" s="2713"/>
      <c r="L44" s="492" t="s">
        <v>2715</v>
      </c>
      <c r="N44" s="2714" t="s">
        <v>2714</v>
      </c>
      <c r="O44" s="2714"/>
    </row>
    <row r="45" spans="1:16" s="294" customFormat="1" ht="3" customHeight="1">
      <c r="A45" s="480"/>
      <c r="I45" s="1738"/>
      <c r="J45" s="1738"/>
      <c r="K45" s="1738"/>
      <c r="L45" s="1726"/>
      <c r="M45" s="1726"/>
      <c r="N45" s="1726"/>
      <c r="O45" s="1726"/>
      <c r="P45" s="1726"/>
    </row>
    <row r="46" spans="1:16" s="294" customFormat="1" ht="13.35" customHeight="1">
      <c r="A46" s="480"/>
      <c r="B46" s="296" t="s">
        <v>626</v>
      </c>
      <c r="F46" s="2652" t="s">
        <v>3562</v>
      </c>
      <c r="G46" s="2653"/>
      <c r="H46" s="2653"/>
      <c r="I46" s="2654"/>
      <c r="J46" s="2653"/>
      <c r="K46" s="2655"/>
      <c r="L46" s="877" t="s">
        <v>2666</v>
      </c>
      <c r="M46" s="2644" t="s">
        <v>4813</v>
      </c>
      <c r="N46" s="2656"/>
      <c r="O46" s="2656"/>
      <c r="P46" s="2645"/>
    </row>
    <row r="47" spans="1:16" s="294" customFormat="1" ht="13.35" customHeight="1">
      <c r="A47" s="480"/>
      <c r="B47" s="294" t="s">
        <v>627</v>
      </c>
      <c r="F47" s="2657" t="s">
        <v>4814</v>
      </c>
      <c r="G47" s="2658"/>
      <c r="H47" s="2659"/>
      <c r="I47" s="1053" t="s">
        <v>1954</v>
      </c>
      <c r="J47" s="2553" t="s">
        <v>4812</v>
      </c>
      <c r="K47" s="2555"/>
      <c r="L47" s="877"/>
    </row>
    <row r="48" spans="1:16" s="294" customFormat="1" ht="13.35" customHeight="1">
      <c r="A48" s="480"/>
      <c r="B48" s="294" t="s">
        <v>1955</v>
      </c>
      <c r="F48" s="2660" t="s">
        <v>4816</v>
      </c>
      <c r="G48" s="2661"/>
      <c r="H48" s="2662"/>
      <c r="I48" s="2653"/>
      <c r="J48" s="2661"/>
      <c r="K48" s="2663"/>
      <c r="L48" s="1719" t="s">
        <v>607</v>
      </c>
      <c r="M48" s="2664" t="s">
        <v>1190</v>
      </c>
      <c r="N48" s="2665"/>
      <c r="O48" s="2665"/>
      <c r="P48" s="2666"/>
    </row>
    <row r="49" spans="1:19" s="294" customFormat="1" ht="13.35" customHeight="1">
      <c r="A49" s="480"/>
      <c r="B49" s="1721" t="s">
        <v>2201</v>
      </c>
      <c r="F49" s="2667">
        <v>303033520</v>
      </c>
      <c r="G49" s="2668"/>
      <c r="H49" s="1733" t="s">
        <v>1956</v>
      </c>
      <c r="I49" s="2669">
        <v>4043306004</v>
      </c>
      <c r="J49" s="2670"/>
      <c r="K49" s="2671"/>
      <c r="L49" s="1718" t="s">
        <v>1777</v>
      </c>
      <c r="M49" s="2672" t="s">
        <v>4815</v>
      </c>
      <c r="N49" s="2673"/>
      <c r="O49" s="2673"/>
      <c r="P49" s="2674"/>
    </row>
    <row r="50" spans="1:19" s="294" customFormat="1" ht="6" customHeight="1">
      <c r="A50" s="480"/>
      <c r="B50" s="480"/>
      <c r="C50" s="309"/>
      <c r="D50" s="310"/>
      <c r="E50" s="310"/>
      <c r="F50" s="1729"/>
      <c r="G50" s="1729"/>
      <c r="H50" s="1729"/>
      <c r="I50" s="1729"/>
      <c r="J50" s="310"/>
      <c r="K50" s="1729"/>
      <c r="L50" s="1729"/>
      <c r="N50" s="1726"/>
      <c r="O50" s="1726"/>
      <c r="P50" s="303"/>
    </row>
    <row r="51" spans="1:19" s="294" customFormat="1" ht="12" customHeight="1">
      <c r="A51" s="299" t="s">
        <v>1772</v>
      </c>
      <c r="B51" s="296" t="s">
        <v>1457</v>
      </c>
      <c r="F51" s="311"/>
      <c r="I51" s="1721"/>
      <c r="J51" s="1726"/>
      <c r="K51" s="1726"/>
      <c r="L51" s="1726"/>
      <c r="M51" s="1726"/>
    </row>
    <row r="52" spans="1:19" s="294" customFormat="1" ht="1.5" customHeight="1">
      <c r="A52" s="480"/>
      <c r="B52" s="296"/>
      <c r="C52" s="296"/>
      <c r="I52" s="1721"/>
      <c r="J52" s="1726"/>
      <c r="K52" s="1726"/>
      <c r="L52" s="1726"/>
      <c r="M52" s="1726"/>
      <c r="N52" s="1726"/>
      <c r="O52" s="1726"/>
      <c r="P52" s="1726"/>
      <c r="Q52" s="1726"/>
    </row>
    <row r="53" spans="1:19" s="294" customFormat="1">
      <c r="A53" s="480"/>
      <c r="B53" s="480" t="s">
        <v>1957</v>
      </c>
      <c r="C53" s="296" t="s">
        <v>707</v>
      </c>
      <c r="I53" s="1726"/>
      <c r="J53" s="1726"/>
      <c r="K53" s="493"/>
      <c r="L53" s="1726"/>
      <c r="M53" s="495"/>
      <c r="N53" s="495"/>
      <c r="O53" s="495"/>
      <c r="P53" s="495"/>
      <c r="Q53" s="1729"/>
    </row>
    <row r="54" spans="1:19" ht="13.35" customHeight="1">
      <c r="B54" s="480"/>
      <c r="C54" s="294" t="s">
        <v>2266</v>
      </c>
      <c r="D54" s="294"/>
      <c r="E54" s="294"/>
      <c r="H54" s="1070">
        <f>'Part VI-Revenues &amp; Expenses'!$O$103</f>
        <v>84</v>
      </c>
      <c r="K54" s="1718" t="s">
        <v>3574</v>
      </c>
      <c r="L54" s="294"/>
      <c r="M54" s="925" t="s">
        <v>3573</v>
      </c>
      <c r="N54" s="313">
        <f>'Part VI-Revenues &amp; Expenses'!$O$110</f>
        <v>0</v>
      </c>
      <c r="O54" s="926" t="s">
        <v>3300</v>
      </c>
      <c r="P54" s="313">
        <f>'Part VI-Revenues &amp; Expenses'!$O$111</f>
        <v>0</v>
      </c>
      <c r="Q54" s="1729"/>
    </row>
    <row r="55" spans="1:19" s="294" customFormat="1">
      <c r="A55" s="480"/>
      <c r="B55" s="480"/>
      <c r="C55" s="314" t="s">
        <v>344</v>
      </c>
      <c r="H55" s="1071">
        <f>'Part VI-Revenues &amp; Expenses'!$O$109</f>
        <v>0</v>
      </c>
      <c r="K55" s="314" t="s">
        <v>363</v>
      </c>
      <c r="P55" s="313">
        <f>'Part VI-Revenues &amp; Expenses'!$O$113</f>
        <v>0</v>
      </c>
    </row>
    <row r="56" spans="1:19" s="294" customFormat="1" ht="13.35" customHeight="1">
      <c r="B56" s="480"/>
      <c r="C56" s="1718" t="s">
        <v>343</v>
      </c>
      <c r="D56" s="1726"/>
      <c r="H56" s="1072">
        <f>'Part VI-Revenues &amp; Expenses'!$O$106</f>
        <v>0</v>
      </c>
      <c r="I56" s="481" t="s">
        <v>2853</v>
      </c>
      <c r="K56" s="294" t="s">
        <v>345</v>
      </c>
      <c r="P56" s="2263"/>
      <c r="Q56" s="1729"/>
    </row>
    <row r="57" spans="1:19" s="294" customFormat="1" ht="3.6" customHeight="1">
      <c r="A57" s="480"/>
      <c r="P57" s="1726"/>
    </row>
    <row r="58" spans="1:19" s="294" customFormat="1">
      <c r="A58" s="480"/>
      <c r="B58" s="480" t="s">
        <v>1959</v>
      </c>
      <c r="C58" s="296" t="s">
        <v>2267</v>
      </c>
      <c r="H58" s="2264" t="s">
        <v>2936</v>
      </c>
      <c r="K58" s="1726"/>
      <c r="L58" s="1726"/>
      <c r="M58" s="1726"/>
      <c r="N58" s="1726"/>
      <c r="O58" s="495"/>
      <c r="P58" s="493"/>
      <c r="Q58" s="1726"/>
    </row>
    <row r="59" spans="1:19" s="294" customFormat="1" ht="3" customHeight="1">
      <c r="A59" s="480"/>
      <c r="I59" s="1726"/>
      <c r="J59" s="493"/>
      <c r="K59" s="494"/>
      <c r="L59" s="493"/>
      <c r="M59" s="494"/>
      <c r="N59" s="494"/>
      <c r="O59" s="494"/>
      <c r="P59" s="494"/>
      <c r="Q59" s="1726"/>
    </row>
    <row r="60" spans="1:19" s="294" customFormat="1" ht="13.35" customHeight="1">
      <c r="A60" s="480"/>
      <c r="B60" s="305" t="s">
        <v>738</v>
      </c>
      <c r="C60" s="304" t="s">
        <v>2247</v>
      </c>
      <c r="D60" s="1726"/>
      <c r="I60" s="1730" t="s">
        <v>3494</v>
      </c>
      <c r="J60" s="305" t="s">
        <v>2088</v>
      </c>
      <c r="K60" s="315" t="s">
        <v>2273</v>
      </c>
      <c r="M60" s="1726"/>
      <c r="N60" s="1726"/>
      <c r="O60" s="1726"/>
      <c r="P60" s="1729"/>
      <c r="Q60" s="1729"/>
      <c r="R60" s="1729"/>
      <c r="S60" s="1726"/>
    </row>
    <row r="61" spans="1:19" s="294" customFormat="1" ht="13.35" customHeight="1">
      <c r="A61" s="480"/>
      <c r="B61" s="1722"/>
      <c r="C61" s="302" t="s">
        <v>2248</v>
      </c>
      <c r="D61" s="1726"/>
      <c r="E61" s="1726"/>
      <c r="H61" s="634">
        <f>SUM(H62:H68)</f>
        <v>71</v>
      </c>
      <c r="I61" s="634">
        <f>SUM(I62:I68)</f>
        <v>0</v>
      </c>
      <c r="J61" s="480"/>
      <c r="K61" s="302" t="s">
        <v>2727</v>
      </c>
      <c r="M61" s="1726"/>
      <c r="N61" s="1726"/>
      <c r="O61" s="1726"/>
      <c r="P61" s="1433">
        <f>SUM(P62:P68)</f>
        <v>62730</v>
      </c>
    </row>
    <row r="62" spans="1:19" s="294" customFormat="1" ht="13.35" customHeight="1">
      <c r="A62" s="480"/>
      <c r="B62" s="1722"/>
      <c r="C62" s="302"/>
      <c r="D62" s="317" t="s">
        <v>4382</v>
      </c>
      <c r="E62" s="1726"/>
      <c r="H62" s="848">
        <f>'Part VI-Revenues &amp; Expenses'!$O56</f>
        <v>0</v>
      </c>
      <c r="I62" s="848">
        <f>'Part VI-Revenues &amp; Expenses'!$O81</f>
        <v>0</v>
      </c>
      <c r="J62" s="480"/>
      <c r="K62" s="302"/>
      <c r="L62" s="317" t="s">
        <v>4382</v>
      </c>
      <c r="M62" s="1726"/>
      <c r="N62" s="1726"/>
      <c r="O62" s="1726"/>
      <c r="P62" s="848">
        <f>'Part VI-Revenues &amp; Expenses'!$O145</f>
        <v>0</v>
      </c>
    </row>
    <row r="63" spans="1:19" s="294" customFormat="1" ht="13.35" customHeight="1">
      <c r="A63" s="480"/>
      <c r="B63" s="1722"/>
      <c r="C63" s="302"/>
      <c r="D63" s="317" t="s">
        <v>4383</v>
      </c>
      <c r="E63" s="1726"/>
      <c r="H63" s="1435">
        <f>'Part VI-Revenues &amp; Expenses'!$O57</f>
        <v>0</v>
      </c>
      <c r="I63" s="1435">
        <f>'Part VI-Revenues &amp; Expenses'!$O82</f>
        <v>0</v>
      </c>
      <c r="J63" s="480"/>
      <c r="K63" s="302"/>
      <c r="L63" s="317" t="s">
        <v>4383</v>
      </c>
      <c r="M63" s="1726"/>
      <c r="N63" s="1726"/>
      <c r="O63" s="1726"/>
      <c r="P63" s="1435">
        <f>'Part VI-Revenues &amp; Expenses'!$O146</f>
        <v>0</v>
      </c>
    </row>
    <row r="64" spans="1:19" s="294" customFormat="1" ht="13.35" customHeight="1">
      <c r="A64" s="480"/>
      <c r="B64" s="312"/>
      <c r="D64" s="317" t="s">
        <v>4380</v>
      </c>
      <c r="E64" s="317"/>
      <c r="H64" s="1435">
        <f>'Part VI-Revenues &amp; Expenses'!$O58</f>
        <v>54</v>
      </c>
      <c r="I64" s="1435">
        <f>'Part VI-Revenues &amp; Expenses'!$O83</f>
        <v>0</v>
      </c>
      <c r="L64" s="317" t="s">
        <v>4380</v>
      </c>
      <c r="O64" s="1726"/>
      <c r="P64" s="1435">
        <f>'Part VI-Revenues &amp; Expenses'!$O147</f>
        <v>47760</v>
      </c>
    </row>
    <row r="65" spans="1:16" s="294" customFormat="1" ht="13.35" customHeight="1">
      <c r="A65" s="480"/>
      <c r="D65" s="317" t="s">
        <v>4381</v>
      </c>
      <c r="E65" s="1726"/>
      <c r="H65" s="1435">
        <f>'Part VI-Revenues &amp; Expenses'!$O59</f>
        <v>17</v>
      </c>
      <c r="I65" s="1435">
        <f>'Part VI-Revenues &amp; Expenses'!$O84</f>
        <v>0</v>
      </c>
      <c r="L65" s="317" t="s">
        <v>4381</v>
      </c>
      <c r="O65" s="1726"/>
      <c r="P65" s="1435">
        <f>'Part VI-Revenues &amp; Expenses'!$O148</f>
        <v>14970</v>
      </c>
    </row>
    <row r="66" spans="1:16" s="294" customFormat="1" ht="13.35" customHeight="1">
      <c r="A66" s="480"/>
      <c r="D66" s="317" t="s">
        <v>4384</v>
      </c>
      <c r="E66" s="317"/>
      <c r="H66" s="1435">
        <f>'Part VI-Revenues &amp; Expenses'!$O60</f>
        <v>0</v>
      </c>
      <c r="I66" s="1435">
        <f>'Part VI-Revenues &amp; Expenses'!$O85</f>
        <v>0</v>
      </c>
      <c r="L66" s="317" t="s">
        <v>4384</v>
      </c>
      <c r="O66" s="1726"/>
      <c r="P66" s="1435">
        <f>'Part VI-Revenues &amp; Expenses'!$O149</f>
        <v>0</v>
      </c>
    </row>
    <row r="67" spans="1:16" s="294" customFormat="1" ht="13.35" customHeight="1">
      <c r="A67" s="480"/>
      <c r="D67" s="317" t="s">
        <v>4385</v>
      </c>
      <c r="E67" s="317"/>
      <c r="H67" s="1435">
        <f>'Part VI-Revenues &amp; Expenses'!$O61</f>
        <v>0</v>
      </c>
      <c r="I67" s="1435">
        <f>'Part VI-Revenues &amp; Expenses'!$O86</f>
        <v>0</v>
      </c>
      <c r="L67" s="317" t="s">
        <v>4385</v>
      </c>
      <c r="O67" s="1726"/>
      <c r="P67" s="1435">
        <f>'Part VI-Revenues &amp; Expenses'!$O150</f>
        <v>0</v>
      </c>
    </row>
    <row r="68" spans="1:16" s="294" customFormat="1" ht="13.35" customHeight="1">
      <c r="A68" s="480"/>
      <c r="D68" s="317" t="s">
        <v>4386</v>
      </c>
      <c r="E68" s="317"/>
      <c r="H68" s="849">
        <f>'Part VI-Revenues &amp; Expenses'!$O62</f>
        <v>0</v>
      </c>
      <c r="I68" s="849">
        <f>'Part VI-Revenues &amp; Expenses'!$O87</f>
        <v>0</v>
      </c>
      <c r="L68" s="317" t="s">
        <v>4386</v>
      </c>
      <c r="O68" s="1726"/>
      <c r="P68" s="849">
        <f>'Part VI-Revenues &amp; Expenses'!$O151</f>
        <v>0</v>
      </c>
    </row>
    <row r="69" spans="1:16" s="294" customFormat="1" ht="13.35" customHeight="1">
      <c r="A69" s="480"/>
      <c r="C69" s="302" t="s">
        <v>250</v>
      </c>
      <c r="D69" s="1726"/>
      <c r="E69" s="1726"/>
      <c r="H69" s="1434">
        <f>'Part VI-Revenues &amp; Expenses'!$O$64</f>
        <v>13</v>
      </c>
      <c r="J69" s="480"/>
      <c r="K69" s="302" t="s">
        <v>2728</v>
      </c>
      <c r="M69" s="1726"/>
      <c r="N69" s="1726"/>
      <c r="O69" s="1726"/>
      <c r="P69" s="1436">
        <f>'Part VI-Revenues &amp; Expenses'!$O$153</f>
        <v>11890</v>
      </c>
    </row>
    <row r="70" spans="1:16" s="294" customFormat="1" ht="13.35" customHeight="1">
      <c r="A70" s="480"/>
      <c r="C70" s="302" t="s">
        <v>2376</v>
      </c>
      <c r="D70" s="1726"/>
      <c r="E70" s="1726"/>
      <c r="H70" s="848">
        <f>H61+H69</f>
        <v>84</v>
      </c>
      <c r="J70" s="480"/>
      <c r="K70" s="302" t="s">
        <v>2729</v>
      </c>
      <c r="M70" s="1726"/>
      <c r="N70" s="1726"/>
      <c r="O70" s="1726"/>
      <c r="P70" s="848">
        <f>P61+P69</f>
        <v>74620</v>
      </c>
    </row>
    <row r="71" spans="1:16" s="294" customFormat="1" ht="13.35" customHeight="1">
      <c r="A71" s="480"/>
      <c r="C71" s="302" t="s">
        <v>2377</v>
      </c>
      <c r="D71" s="1726"/>
      <c r="E71" s="1726"/>
      <c r="H71" s="849">
        <f>'Part VI-Revenues &amp; Expenses'!$O$66</f>
        <v>0</v>
      </c>
      <c r="J71" s="480"/>
      <c r="K71" s="302" t="s">
        <v>2730</v>
      </c>
      <c r="M71" s="1726"/>
      <c r="N71" s="1726"/>
      <c r="O71" s="1726"/>
      <c r="P71" s="849">
        <f>'Part VI-Revenues &amp; Expenses'!$O$155</f>
        <v>0</v>
      </c>
    </row>
    <row r="72" spans="1:16" s="294" customFormat="1" ht="13.35" customHeight="1">
      <c r="A72" s="480"/>
      <c r="C72" s="302" t="s">
        <v>1771</v>
      </c>
      <c r="D72" s="1726"/>
      <c r="E72" s="1726"/>
      <c r="H72" s="316">
        <f>+H70+H71</f>
        <v>84</v>
      </c>
      <c r="J72" s="1726"/>
      <c r="K72" s="302" t="s">
        <v>1404</v>
      </c>
      <c r="M72" s="1726"/>
      <c r="N72" s="1726"/>
      <c r="O72" s="1726"/>
      <c r="P72" s="316">
        <f>+P70+P71</f>
        <v>74620</v>
      </c>
    </row>
    <row r="73" spans="1:16" s="294" customFormat="1" ht="3" customHeight="1">
      <c r="A73" s="480"/>
      <c r="I73" s="1729"/>
      <c r="L73" s="1729"/>
      <c r="M73" s="1729"/>
      <c r="N73" s="1726"/>
      <c r="P73" s="303"/>
    </row>
    <row r="74" spans="1:16" s="294" customFormat="1" ht="13.35" customHeight="1">
      <c r="A74" s="480"/>
      <c r="B74" s="480" t="s">
        <v>1714</v>
      </c>
      <c r="C74" s="304" t="s">
        <v>2268</v>
      </c>
      <c r="D74" s="317" t="s">
        <v>1970</v>
      </c>
      <c r="G74" s="1726"/>
      <c r="H74" s="2265">
        <v>4</v>
      </c>
      <c r="K74" s="302" t="s">
        <v>4695</v>
      </c>
      <c r="O74" s="1726"/>
      <c r="P74" s="2266">
        <v>3000</v>
      </c>
    </row>
    <row r="75" spans="1:16" s="294" customFormat="1" ht="13.35" customHeight="1">
      <c r="A75" s="480"/>
      <c r="B75" s="480"/>
      <c r="D75" s="1722" t="s">
        <v>1971</v>
      </c>
      <c r="H75" s="2267">
        <v>1</v>
      </c>
      <c r="I75" s="1726"/>
      <c r="K75" s="302" t="s">
        <v>249</v>
      </c>
      <c r="O75" s="1726"/>
      <c r="P75" s="316">
        <f>+P72+P74</f>
        <v>77620</v>
      </c>
    </row>
    <row r="76" spans="1:16" s="294" customFormat="1" ht="13.35" customHeight="1">
      <c r="A76" s="480"/>
      <c r="B76" s="480"/>
      <c r="D76" s="1722" t="s">
        <v>1972</v>
      </c>
      <c r="H76" s="316">
        <f>+H74+H75</f>
        <v>5</v>
      </c>
      <c r="I76" s="1726"/>
    </row>
    <row r="77" spans="1:16" s="294" customFormat="1" ht="3" customHeight="1">
      <c r="A77" s="480"/>
      <c r="B77" s="480"/>
      <c r="C77" s="1726"/>
      <c r="D77" s="1726"/>
      <c r="E77" s="1726"/>
      <c r="F77" s="1726"/>
      <c r="G77" s="1729"/>
      <c r="I77" s="302"/>
      <c r="J77" s="1726"/>
      <c r="P77" s="303"/>
    </row>
    <row r="78" spans="1:16" s="294" customFormat="1" ht="13.35" customHeight="1">
      <c r="A78" s="480"/>
      <c r="B78" s="480" t="s">
        <v>1715</v>
      </c>
      <c r="C78" s="304" t="s">
        <v>2788</v>
      </c>
      <c r="D78" s="1726"/>
      <c r="E78" s="1726"/>
      <c r="F78" s="1726"/>
      <c r="G78" s="1726"/>
      <c r="H78" s="2266">
        <v>102</v>
      </c>
      <c r="K78" s="2568" t="s">
        <v>3724</v>
      </c>
      <c r="L78" s="2568"/>
      <c r="M78" s="2568"/>
      <c r="N78" s="2568"/>
      <c r="O78" s="2568"/>
      <c r="P78" s="2568"/>
    </row>
    <row r="79" spans="1:16" s="294" customFormat="1" ht="6" customHeight="1">
      <c r="A79" s="480"/>
      <c r="B79" s="480"/>
      <c r="C79" s="302"/>
      <c r="D79" s="1726"/>
      <c r="E79" s="1726"/>
      <c r="F79" s="1726"/>
      <c r="G79" s="1729"/>
      <c r="H79" s="1726"/>
      <c r="I79" s="302"/>
      <c r="J79" s="302"/>
      <c r="K79" s="2568"/>
      <c r="L79" s="2568"/>
      <c r="M79" s="2568"/>
      <c r="N79" s="2568"/>
      <c r="O79" s="2568"/>
      <c r="P79" s="2568"/>
    </row>
    <row r="80" spans="1:16" s="294" customFormat="1" ht="13.35" customHeight="1">
      <c r="A80" s="480" t="s">
        <v>522</v>
      </c>
      <c r="B80" s="318" t="s">
        <v>1176</v>
      </c>
      <c r="D80" s="318"/>
      <c r="E80" s="318"/>
      <c r="F80" s="1726"/>
      <c r="G80" s="1729"/>
      <c r="H80" s="507"/>
      <c r="K80" s="2568"/>
      <c r="L80" s="2568"/>
      <c r="M80" s="2568"/>
      <c r="N80" s="2568"/>
      <c r="O80" s="2568"/>
      <c r="P80" s="2568"/>
    </row>
    <row r="81" spans="1:16" s="294" customFormat="1" ht="3" customHeight="1">
      <c r="A81" s="480"/>
      <c r="C81" s="1610"/>
      <c r="D81" s="1610"/>
      <c r="E81" s="1610"/>
      <c r="F81" s="1726"/>
      <c r="G81" s="1729"/>
      <c r="K81" s="1726"/>
      <c r="P81" s="303"/>
    </row>
    <row r="82" spans="1:16" s="294" customFormat="1" ht="13.35" customHeight="1">
      <c r="A82" s="480"/>
      <c r="B82" s="480" t="s">
        <v>1957</v>
      </c>
      <c r="C82" s="1720" t="s">
        <v>2654</v>
      </c>
      <c r="D82" s="1610"/>
      <c r="E82" s="1610"/>
      <c r="F82" s="1726"/>
      <c r="G82" s="1729"/>
      <c r="H82" s="2650" t="s">
        <v>2854</v>
      </c>
      <c r="I82" s="2651"/>
      <c r="K82" s="2576" t="s">
        <v>1750</v>
      </c>
      <c r="L82" s="2576"/>
      <c r="M82" s="2644"/>
      <c r="N82" s="2656"/>
      <c r="O82" s="2656"/>
      <c r="P82" s="2645"/>
    </row>
    <row r="83" spans="1:16" s="294" customFormat="1" ht="3" customHeight="1">
      <c r="A83" s="480"/>
      <c r="B83" s="480"/>
      <c r="D83" s="1722"/>
      <c r="E83" s="1722"/>
      <c r="F83" s="1722"/>
      <c r="G83" s="1722"/>
      <c r="I83" s="1729"/>
      <c r="K83" s="1721"/>
      <c r="L83" s="1721"/>
      <c r="M83" s="1729"/>
      <c r="N83" s="1726"/>
      <c r="P83" s="303"/>
    </row>
    <row r="84" spans="1:16" s="294" customFormat="1" ht="13.35" customHeight="1">
      <c r="A84" s="480"/>
      <c r="B84" s="480"/>
      <c r="E84" s="1610"/>
      <c r="K84" s="2539" t="s">
        <v>4628</v>
      </c>
      <c r="L84" s="319" t="s">
        <v>2854</v>
      </c>
      <c r="M84" s="2265"/>
      <c r="N84" s="319" t="s">
        <v>2855</v>
      </c>
      <c r="O84" s="2265"/>
      <c r="P84" s="1718" t="s">
        <v>4627</v>
      </c>
    </row>
    <row r="85" spans="1:16" s="294" customFormat="1" ht="13.35" customHeight="1">
      <c r="A85" s="480"/>
      <c r="B85" s="480"/>
      <c r="D85" s="1721"/>
      <c r="E85" s="1610"/>
      <c r="J85" s="1608"/>
      <c r="K85" s="2539"/>
      <c r="L85" s="306" t="s">
        <v>2856</v>
      </c>
      <c r="M85" s="2267"/>
      <c r="N85" s="306" t="s">
        <v>3743</v>
      </c>
      <c r="O85" s="2267"/>
      <c r="P85" s="2268"/>
    </row>
    <row r="86" spans="1:16" s="294" customFormat="1" ht="3" customHeight="1">
      <c r="A86" s="480"/>
      <c r="B86" s="480"/>
      <c r="D86" s="1722"/>
      <c r="E86" s="1722"/>
      <c r="F86" s="1722"/>
      <c r="G86" s="1722"/>
      <c r="I86" s="1729"/>
      <c r="K86" s="1721"/>
      <c r="L86" s="1721"/>
      <c r="M86" s="1729"/>
      <c r="N86" s="1726"/>
      <c r="P86" s="303"/>
    </row>
    <row r="87" spans="1:16" s="294" customFormat="1" ht="13.35" customHeight="1">
      <c r="A87" s="480"/>
      <c r="B87" s="480" t="s">
        <v>1959</v>
      </c>
      <c r="C87" s="304" t="s">
        <v>1396</v>
      </c>
      <c r="D87" s="1726"/>
      <c r="E87" s="317"/>
      <c r="F87" s="1722" t="s">
        <v>784</v>
      </c>
      <c r="H87" s="316">
        <f>'Part VIII-Threshold Criteria'!K306</f>
        <v>5</v>
      </c>
      <c r="K87" s="2576" t="s">
        <v>512</v>
      </c>
      <c r="L87" s="2576"/>
      <c r="N87" s="320">
        <f>IF('Part VI-Revenues &amp; Expenses'!$O$67=0,0,H87/'Part VI-Revenues &amp; Expenses'!$O$67)</f>
        <v>5.9523809523809521E-2</v>
      </c>
      <c r="O87" s="306" t="s">
        <v>3594</v>
      </c>
      <c r="P87" s="937">
        <f>'DCA Underwriting Assumptions'!$Q$139</f>
        <v>0.05</v>
      </c>
    </row>
    <row r="88" spans="1:16" s="294" customFormat="1" ht="12.75" customHeight="1">
      <c r="A88" s="480"/>
      <c r="B88" s="480"/>
      <c r="D88" s="1722" t="s">
        <v>2786</v>
      </c>
      <c r="E88" s="1722"/>
      <c r="F88" s="1722" t="s">
        <v>784</v>
      </c>
      <c r="H88" s="316">
        <f>'Part VIII-Threshold Criteria'!K307</f>
        <v>2</v>
      </c>
      <c r="K88" s="1726" t="s">
        <v>2787</v>
      </c>
      <c r="L88" s="1726"/>
      <c r="N88" s="320">
        <f>IF(H87=0,0,H88/H87)</f>
        <v>0.4</v>
      </c>
      <c r="O88" s="306" t="s">
        <v>3594</v>
      </c>
      <c r="P88" s="937">
        <f>'DCA Underwriting Assumptions'!$Q$140</f>
        <v>0.4</v>
      </c>
    </row>
    <row r="89" spans="1:16" s="294" customFormat="1" ht="3" customHeight="1">
      <c r="A89" s="480"/>
      <c r="B89" s="480"/>
      <c r="D89" s="1722"/>
      <c r="E89" s="1722"/>
      <c r="F89" s="1722"/>
      <c r="I89" s="1729"/>
      <c r="K89" s="1721"/>
      <c r="L89" s="1721"/>
      <c r="M89" s="1729"/>
      <c r="N89" s="1729"/>
      <c r="P89" s="1733"/>
    </row>
    <row r="90" spans="1:16" s="294" customFormat="1" ht="13.35" customHeight="1">
      <c r="A90" s="480"/>
      <c r="B90" s="480" t="s">
        <v>738</v>
      </c>
      <c r="C90" s="304" t="s">
        <v>1819</v>
      </c>
      <c r="D90" s="317"/>
      <c r="E90" s="317"/>
      <c r="F90" s="1722" t="s">
        <v>784</v>
      </c>
      <c r="H90" s="316">
        <f>'Part VIII-Threshold Criteria'!K309</f>
        <v>2</v>
      </c>
      <c r="K90" s="2576" t="s">
        <v>512</v>
      </c>
      <c r="L90" s="2576"/>
      <c r="N90" s="320">
        <f>IF('Part VI-Revenues &amp; Expenses'!$O$67=0,0,H90/'Part VI-Revenues &amp; Expenses'!$O$67)</f>
        <v>2.3809523809523808E-2</v>
      </c>
      <c r="O90" s="306" t="s">
        <v>3594</v>
      </c>
      <c r="P90" s="937">
        <f>'DCA Underwriting Assumptions'!$Q$141</f>
        <v>0.02</v>
      </c>
    </row>
    <row r="91" spans="1:16" s="294" customFormat="1" ht="4.5" customHeight="1">
      <c r="A91" s="480"/>
      <c r="B91" s="480"/>
      <c r="D91" s="1722"/>
      <c r="E91" s="1722"/>
      <c r="F91" s="1722"/>
      <c r="G91" s="1722"/>
      <c r="I91" s="1729"/>
      <c r="J91" s="1729"/>
      <c r="K91" s="1729"/>
      <c r="L91" s="1729"/>
      <c r="M91" s="1729"/>
      <c r="N91" s="1726"/>
      <c r="P91" s="303"/>
    </row>
    <row r="92" spans="1:16" s="294" customFormat="1" ht="13.35" customHeight="1">
      <c r="A92" s="321" t="s">
        <v>761</v>
      </c>
      <c r="B92" s="1610" t="s">
        <v>4535</v>
      </c>
      <c r="D92" s="1722"/>
      <c r="E92" s="1722"/>
      <c r="F92" s="1722"/>
      <c r="G92" s="1722"/>
      <c r="H92" s="1722"/>
      <c r="I92" s="1729"/>
      <c r="M92" s="1729"/>
      <c r="N92" s="1726"/>
      <c r="P92" s="303"/>
    </row>
    <row r="93" spans="1:16" s="294" customFormat="1" ht="1.5" customHeight="1">
      <c r="A93" s="480"/>
      <c r="B93" s="480"/>
      <c r="C93" s="1610"/>
      <c r="D93" s="1722"/>
      <c r="E93" s="1722"/>
      <c r="F93" s="1722"/>
      <c r="L93" s="1729"/>
      <c r="M93" s="1729"/>
      <c r="N93" s="1726"/>
    </row>
    <row r="94" spans="1:16" s="294" customFormat="1" ht="13.35" customHeight="1">
      <c r="A94" s="480"/>
      <c r="B94" s="480" t="s">
        <v>1957</v>
      </c>
      <c r="C94" s="1720" t="s">
        <v>2347</v>
      </c>
      <c r="D94" s="1722"/>
      <c r="F94" s="1721"/>
      <c r="K94" s="2636" t="s">
        <v>4817</v>
      </c>
      <c r="L94" s="2638"/>
      <c r="M94" s="2637"/>
      <c r="N94" s="1726"/>
    </row>
    <row r="95" spans="1:16" s="294" customFormat="1" ht="1.5" customHeight="1">
      <c r="A95" s="480"/>
      <c r="B95" s="480"/>
      <c r="D95" s="1722"/>
      <c r="F95" s="1722"/>
      <c r="G95" s="1722"/>
      <c r="L95" s="1729"/>
      <c r="M95" s="1729"/>
    </row>
    <row r="96" spans="1:16" s="294" customFormat="1" ht="13.35" customHeight="1">
      <c r="B96" s="480" t="s">
        <v>1959</v>
      </c>
      <c r="C96" s="296" t="s">
        <v>1516</v>
      </c>
      <c r="K96" s="1718" t="s">
        <v>4604</v>
      </c>
      <c r="N96" s="322"/>
      <c r="P96" s="2269" t="s">
        <v>2936</v>
      </c>
    </row>
    <row r="97" spans="1:16" s="294" customFormat="1" ht="4.5" customHeight="1">
      <c r="A97" s="480"/>
      <c r="B97" s="480"/>
      <c r="C97" s="296"/>
      <c r="D97" s="1722"/>
      <c r="E97" s="1722"/>
      <c r="F97" s="1722"/>
      <c r="G97" s="1722"/>
      <c r="I97" s="1729"/>
      <c r="J97" s="1729"/>
      <c r="K97" s="1729"/>
      <c r="L97" s="1729"/>
      <c r="M97" s="1729"/>
      <c r="N97" s="1726"/>
      <c r="P97" s="303"/>
    </row>
    <row r="98" spans="1:16" s="294" customFormat="1" ht="13.35" customHeight="1">
      <c r="A98" s="321" t="s">
        <v>289</v>
      </c>
      <c r="B98" s="1610" t="s">
        <v>2015</v>
      </c>
      <c r="D98" s="1722"/>
    </row>
    <row r="99" spans="1:16" s="294" customFormat="1" ht="1.5" customHeight="1">
      <c r="A99" s="480"/>
      <c r="B99" s="480"/>
      <c r="D99" s="1722"/>
      <c r="N99" s="1726"/>
      <c r="P99" s="303"/>
    </row>
    <row r="100" spans="1:16" s="294" customFormat="1" ht="13.35" customHeight="1">
      <c r="A100" s="321"/>
      <c r="B100" s="480" t="s">
        <v>1957</v>
      </c>
      <c r="C100" s="296" t="s">
        <v>2669</v>
      </c>
      <c r="F100" s="317" t="s">
        <v>2566</v>
      </c>
      <c r="H100" s="2270" t="s">
        <v>2936</v>
      </c>
      <c r="K100" s="1721" t="s">
        <v>3757</v>
      </c>
      <c r="P100" s="2270" t="s">
        <v>2936</v>
      </c>
    </row>
    <row r="101" spans="1:16" s="294" customFormat="1" ht="13.35" customHeight="1">
      <c r="A101" s="321"/>
      <c r="B101" s="480"/>
      <c r="C101" s="296"/>
      <c r="F101" s="1722" t="s">
        <v>3762</v>
      </c>
      <c r="H101" s="2271" t="s">
        <v>2936</v>
      </c>
      <c r="K101" s="1721" t="s">
        <v>4396</v>
      </c>
      <c r="P101" s="2271" t="s">
        <v>2936</v>
      </c>
    </row>
    <row r="102" spans="1:16" s="294" customFormat="1" ht="1.5" customHeight="1">
      <c r="A102" s="480"/>
      <c r="B102" s="480"/>
      <c r="C102" s="1610"/>
      <c r="F102" s="1722"/>
      <c r="H102" s="1722"/>
      <c r="J102" s="1729"/>
      <c r="K102" s="1729"/>
      <c r="L102" s="1729"/>
      <c r="M102" s="1729"/>
      <c r="N102" s="1729"/>
      <c r="P102" s="303"/>
    </row>
    <row r="103" spans="1:16" s="294" customFormat="1" ht="13.35" customHeight="1">
      <c r="A103" s="321"/>
      <c r="B103" s="480" t="s">
        <v>1959</v>
      </c>
      <c r="C103" s="296" t="s">
        <v>2670</v>
      </c>
      <c r="F103" s="1721" t="s">
        <v>2642</v>
      </c>
      <c r="H103" s="2264" t="s">
        <v>2936</v>
      </c>
      <c r="I103" s="475" t="s">
        <v>2671</v>
      </c>
      <c r="J103" s="1729"/>
      <c r="L103" s="1729"/>
    </row>
    <row r="104" spans="1:16" s="294" customFormat="1" ht="4.5" customHeight="1">
      <c r="A104" s="480"/>
      <c r="B104" s="480"/>
      <c r="C104" s="296"/>
      <c r="D104" s="1722"/>
      <c r="E104" s="1722"/>
      <c r="F104" s="1722"/>
      <c r="G104" s="1722"/>
      <c r="I104" s="1729"/>
      <c r="J104" s="1729"/>
      <c r="K104" s="1729"/>
      <c r="L104" s="1729"/>
      <c r="M104" s="1729"/>
      <c r="N104" s="1726"/>
      <c r="P104" s="303"/>
    </row>
    <row r="105" spans="1:16" s="294" customFormat="1" ht="13.35" customHeight="1">
      <c r="A105" s="321" t="s">
        <v>422</v>
      </c>
      <c r="B105" s="1610" t="s">
        <v>2737</v>
      </c>
      <c r="D105" s="1722"/>
      <c r="H105" s="2636" t="s">
        <v>2769</v>
      </c>
      <c r="I105" s="2637"/>
      <c r="J105" s="1729"/>
    </row>
    <row r="106" spans="1:16" s="294" customFormat="1" ht="4.5" customHeight="1">
      <c r="A106" s="480"/>
      <c r="D106" s="310"/>
      <c r="E106" s="1726"/>
      <c r="I106" s="310"/>
      <c r="J106" s="302"/>
      <c r="K106" s="1726"/>
      <c r="P106" s="303"/>
    </row>
    <row r="107" spans="1:16" s="294" customFormat="1" ht="13.35" customHeight="1">
      <c r="A107" s="321" t="s">
        <v>359</v>
      </c>
      <c r="B107" s="315" t="s">
        <v>1174</v>
      </c>
      <c r="D107" s="1726"/>
      <c r="E107" s="1726"/>
      <c r="F107" s="1726"/>
      <c r="G107" s="1726"/>
      <c r="H107" s="1726"/>
      <c r="I107" s="310"/>
      <c r="J107" s="302"/>
      <c r="K107" s="1726"/>
      <c r="P107" s="303"/>
    </row>
    <row r="108" spans="1:16" s="294" customFormat="1" ht="3" customHeight="1">
      <c r="A108" s="321"/>
      <c r="B108" s="480"/>
      <c r="C108" s="315"/>
      <c r="D108" s="1726"/>
      <c r="E108" s="1726"/>
      <c r="F108" s="1726"/>
      <c r="G108" s="1726"/>
      <c r="H108" s="1726"/>
      <c r="I108" s="310"/>
      <c r="J108" s="302"/>
      <c r="K108" s="1726"/>
    </row>
    <row r="109" spans="1:16" s="294" customFormat="1" ht="13.35" customHeight="1">
      <c r="A109" s="480"/>
      <c r="B109" s="480"/>
      <c r="C109" s="302" t="s">
        <v>543</v>
      </c>
      <c r="D109" s="1726"/>
      <c r="E109" s="2559"/>
      <c r="F109" s="2560"/>
      <c r="G109" s="2560"/>
      <c r="H109" s="2560"/>
      <c r="I109" s="2560"/>
      <c r="J109" s="2560"/>
      <c r="K109" s="2560"/>
      <c r="L109" s="2561"/>
      <c r="M109" s="2626" t="s">
        <v>544</v>
      </c>
      <c r="N109" s="2626"/>
      <c r="O109" s="2583"/>
      <c r="P109" s="2584"/>
    </row>
    <row r="110" spans="1:16" s="294" customFormat="1" ht="13.35" customHeight="1">
      <c r="C110" s="1718" t="s">
        <v>1008</v>
      </c>
      <c r="D110" s="306"/>
      <c r="E110" s="2627"/>
      <c r="F110" s="2567"/>
      <c r="G110" s="2567"/>
      <c r="H110" s="2628"/>
      <c r="I110" s="2567"/>
      <c r="J110" s="2628"/>
      <c r="K110" s="2567"/>
      <c r="L110" s="2629"/>
      <c r="M110" s="2626" t="s">
        <v>796</v>
      </c>
      <c r="N110" s="2626"/>
      <c r="O110" s="2630"/>
      <c r="P110" s="2631"/>
    </row>
    <row r="111" spans="1:16" s="294" customFormat="1" ht="13.35" customHeight="1">
      <c r="C111" s="1718" t="s">
        <v>607</v>
      </c>
      <c r="E111" s="2553"/>
      <c r="F111" s="2613"/>
      <c r="G111" s="2614"/>
      <c r="H111" s="1733" t="s">
        <v>1776</v>
      </c>
      <c r="I111" s="2272"/>
      <c r="J111" s="323" t="s">
        <v>2201</v>
      </c>
      <c r="K111" s="2632"/>
      <c r="L111" s="2633"/>
      <c r="M111" s="271" t="s">
        <v>3564</v>
      </c>
      <c r="N111" s="271"/>
      <c r="O111" s="2634"/>
      <c r="P111" s="2635"/>
    </row>
    <row r="112" spans="1:16" s="294" customFormat="1" ht="13.35" customHeight="1">
      <c r="C112" s="294" t="s">
        <v>2167</v>
      </c>
      <c r="E112" s="2553"/>
      <c r="F112" s="2613"/>
      <c r="G112" s="2614"/>
      <c r="H112" s="970" t="s">
        <v>1954</v>
      </c>
      <c r="I112" s="2615"/>
      <c r="J112" s="2616"/>
      <c r="K112" s="2617"/>
      <c r="L112" s="1737" t="s">
        <v>1958</v>
      </c>
      <c r="M112" s="2559"/>
      <c r="N112" s="2618"/>
      <c r="O112" s="2619"/>
      <c r="P112" s="2620"/>
    </row>
    <row r="113" spans="1:16" s="294" customFormat="1" ht="13.35" customHeight="1">
      <c r="C113" s="1718" t="s">
        <v>2166</v>
      </c>
      <c r="E113" s="2621"/>
      <c r="F113" s="2622"/>
      <c r="G113" s="2623"/>
      <c r="H113" s="970" t="s">
        <v>1778</v>
      </c>
      <c r="I113" s="2621"/>
      <c r="J113" s="2624"/>
      <c r="K113" s="1733" t="s">
        <v>2666</v>
      </c>
      <c r="L113" s="2625"/>
      <c r="M113" s="2548"/>
      <c r="N113" s="2548"/>
      <c r="O113" s="2548"/>
      <c r="P113" s="2549"/>
    </row>
    <row r="114" spans="1:16" s="294" customFormat="1" ht="3" customHeight="1">
      <c r="A114" s="480"/>
      <c r="B114" s="480"/>
      <c r="G114" s="310"/>
      <c r="H114" s="1729"/>
      <c r="I114" s="1729"/>
      <c r="M114" s="303"/>
    </row>
    <row r="115" spans="1:16" s="294" customFormat="1" ht="13.35" customHeight="1">
      <c r="A115" s="321" t="s">
        <v>360</v>
      </c>
      <c r="B115" s="1610" t="s">
        <v>1650</v>
      </c>
      <c r="D115" s="310"/>
      <c r="E115" s="310"/>
      <c r="F115" s="1729"/>
      <c r="G115" s="1729"/>
      <c r="H115" s="1729"/>
      <c r="N115" s="1726"/>
      <c r="O115" s="1726"/>
      <c r="P115" s="303"/>
    </row>
    <row r="116" spans="1:16" s="294" customFormat="1" ht="1.5" customHeight="1">
      <c r="A116" s="321"/>
      <c r="B116" s="1610"/>
      <c r="D116" s="310"/>
      <c r="E116" s="310"/>
      <c r="F116" s="1729"/>
      <c r="G116" s="1729"/>
      <c r="H116" s="1729"/>
      <c r="I116" s="1729"/>
      <c r="J116" s="310"/>
      <c r="K116" s="1729"/>
      <c r="L116" s="1729"/>
      <c r="N116" s="1726"/>
      <c r="O116" s="1726"/>
      <c r="P116" s="303"/>
    </row>
    <row r="117" spans="1:16" s="294" customFormat="1" ht="13.35" customHeight="1">
      <c r="B117" s="317" t="s">
        <v>2126</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1957</v>
      </c>
      <c r="C119" s="1610" t="s">
        <v>1397</v>
      </c>
      <c r="D119" s="1722"/>
      <c r="E119" s="1722"/>
      <c r="F119" s="1729"/>
      <c r="G119" s="1729"/>
      <c r="H119" s="2273">
        <v>3</v>
      </c>
      <c r="N119" s="1726"/>
      <c r="O119" s="1726"/>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1959</v>
      </c>
      <c r="C121" s="1610" t="s">
        <v>412</v>
      </c>
      <c r="D121" s="1722"/>
      <c r="E121" s="1722"/>
      <c r="F121" s="1729"/>
      <c r="G121" s="1729"/>
      <c r="H121" s="2274">
        <f>900000+858241+699925</f>
        <v>2458166</v>
      </c>
      <c r="J121" s="310"/>
      <c r="K121" s="1721"/>
      <c r="N121" s="1726"/>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738</v>
      </c>
      <c r="C123" s="1610" t="s">
        <v>299</v>
      </c>
      <c r="D123" s="1722"/>
      <c r="E123" s="1722"/>
      <c r="F123" s="1729"/>
      <c r="G123" s="1729"/>
      <c r="H123" s="1729"/>
      <c r="I123" s="1729"/>
      <c r="J123" s="310"/>
      <c r="K123" s="1729"/>
      <c r="L123" s="1729"/>
      <c r="N123" s="1726"/>
      <c r="O123" s="1726"/>
    </row>
    <row r="124" spans="1:16" s="294" customFormat="1" ht="13.35" customHeight="1">
      <c r="B124" s="480"/>
      <c r="C124" s="1722" t="s">
        <v>2108</v>
      </c>
      <c r="D124" s="1722"/>
      <c r="F124" s="1722" t="s">
        <v>1121</v>
      </c>
      <c r="G124" s="1729"/>
      <c r="H124" s="1729"/>
      <c r="I124" s="1729" t="s">
        <v>1279</v>
      </c>
      <c r="J124" s="1722" t="s">
        <v>2108</v>
      </c>
      <c r="K124" s="1722"/>
      <c r="M124" s="1722" t="s">
        <v>1121</v>
      </c>
      <c r="N124" s="1729"/>
      <c r="O124" s="1729"/>
      <c r="P124" s="1729" t="s">
        <v>1279</v>
      </c>
    </row>
    <row r="125" spans="1:16" s="294" customFormat="1" ht="13.35" customHeight="1">
      <c r="A125" s="480"/>
      <c r="B125" s="480"/>
      <c r="C125" s="2605" t="s">
        <v>4899</v>
      </c>
      <c r="D125" s="2606"/>
      <c r="E125" s="2606"/>
      <c r="F125" s="2607" t="s">
        <v>4900</v>
      </c>
      <c r="G125" s="2608"/>
      <c r="H125" s="2612"/>
      <c r="I125" s="2275" t="s">
        <v>4905</v>
      </c>
      <c r="J125" s="2605" t="s">
        <v>4903</v>
      </c>
      <c r="K125" s="2606"/>
      <c r="L125" s="2606"/>
      <c r="M125" s="2607" t="s">
        <v>4906</v>
      </c>
      <c r="N125" s="2608"/>
      <c r="O125" s="2612"/>
      <c r="P125" s="2275" t="s">
        <v>4905</v>
      </c>
    </row>
    <row r="126" spans="1:16" s="294" customFormat="1" ht="13.35" customHeight="1">
      <c r="A126" s="480"/>
      <c r="B126" s="480"/>
      <c r="C126" s="2571" t="s">
        <v>4901</v>
      </c>
      <c r="D126" s="2572"/>
      <c r="E126" s="2572"/>
      <c r="F126" s="2573" t="s">
        <v>4900</v>
      </c>
      <c r="G126" s="2574"/>
      <c r="H126" s="2610"/>
      <c r="I126" s="2276" t="s">
        <v>4905</v>
      </c>
      <c r="J126" s="2571" t="s">
        <v>4807</v>
      </c>
      <c r="K126" s="2572"/>
      <c r="L126" s="2572"/>
      <c r="M126" s="2573" t="s">
        <v>4906</v>
      </c>
      <c r="N126" s="2574"/>
      <c r="O126" s="2610"/>
      <c r="P126" s="2276" t="s">
        <v>4905</v>
      </c>
    </row>
    <row r="127" spans="1:16" s="294" customFormat="1" ht="13.35" customHeight="1">
      <c r="A127" s="480"/>
      <c r="B127" s="480"/>
      <c r="C127" s="2571" t="s">
        <v>4902</v>
      </c>
      <c r="D127" s="2572"/>
      <c r="E127" s="2572"/>
      <c r="F127" s="2573" t="s">
        <v>4808</v>
      </c>
      <c r="G127" s="2574"/>
      <c r="H127" s="2610"/>
      <c r="I127" s="2276" t="s">
        <v>4905</v>
      </c>
      <c r="J127" s="2571" t="s">
        <v>4904</v>
      </c>
      <c r="K127" s="2572"/>
      <c r="L127" s="2572"/>
      <c r="M127" s="2573" t="s">
        <v>4906</v>
      </c>
      <c r="N127" s="2574"/>
      <c r="O127" s="2610"/>
      <c r="P127" s="2276" t="s">
        <v>4905</v>
      </c>
    </row>
    <row r="128" spans="1:16" s="294" customFormat="1" ht="13.35" customHeight="1">
      <c r="A128" s="480"/>
      <c r="B128" s="480"/>
      <c r="C128" s="2571" t="s">
        <v>4903</v>
      </c>
      <c r="D128" s="2572"/>
      <c r="E128" s="2572"/>
      <c r="F128" s="2573" t="s">
        <v>4808</v>
      </c>
      <c r="G128" s="2574"/>
      <c r="H128" s="2610"/>
      <c r="I128" s="2276" t="s">
        <v>4905</v>
      </c>
      <c r="J128" s="2571">
        <v>10</v>
      </c>
      <c r="K128" s="2572"/>
      <c r="L128" s="2572"/>
      <c r="M128" s="2573"/>
      <c r="N128" s="2574"/>
      <c r="O128" s="2610"/>
      <c r="P128" s="2276"/>
    </row>
    <row r="129" spans="1:16" s="294" customFormat="1" ht="13.35" customHeight="1">
      <c r="A129" s="480"/>
      <c r="B129" s="480"/>
      <c r="C129" s="2571" t="s">
        <v>4807</v>
      </c>
      <c r="D129" s="2572"/>
      <c r="E129" s="2572"/>
      <c r="F129" s="2573" t="s">
        <v>4808</v>
      </c>
      <c r="G129" s="2574"/>
      <c r="H129" s="2610"/>
      <c r="I129" s="2276" t="s">
        <v>4905</v>
      </c>
      <c r="J129" s="2571">
        <v>11</v>
      </c>
      <c r="K129" s="2572"/>
      <c r="L129" s="2572"/>
      <c r="M129" s="2573"/>
      <c r="N129" s="2574"/>
      <c r="O129" s="2610"/>
      <c r="P129" s="2276"/>
    </row>
    <row r="130" spans="1:16" s="294" customFormat="1" ht="13.35" customHeight="1">
      <c r="A130" s="480"/>
      <c r="B130" s="480"/>
      <c r="C130" s="2599" t="s">
        <v>4904</v>
      </c>
      <c r="D130" s="2600"/>
      <c r="E130" s="2600"/>
      <c r="F130" s="2601" t="s">
        <v>4808</v>
      </c>
      <c r="G130" s="2602"/>
      <c r="H130" s="2611"/>
      <c r="I130" s="2277" t="s">
        <v>4905</v>
      </c>
      <c r="J130" s="2599">
        <v>12</v>
      </c>
      <c r="K130" s="2600"/>
      <c r="L130" s="2600"/>
      <c r="M130" s="2601"/>
      <c r="N130" s="2602"/>
      <c r="O130" s="2611"/>
      <c r="P130" s="2277"/>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2088</v>
      </c>
      <c r="C132" s="2604" t="s">
        <v>1822</v>
      </c>
      <c r="D132" s="2604"/>
      <c r="E132" s="2604"/>
      <c r="F132" s="2604"/>
      <c r="G132" s="2604"/>
      <c r="H132" s="2604"/>
      <c r="I132" s="2604"/>
      <c r="J132" s="2604"/>
      <c r="K132" s="2604"/>
      <c r="L132" s="2604"/>
      <c r="M132" s="2604"/>
      <c r="N132" s="2604"/>
      <c r="O132" s="2604"/>
      <c r="P132" s="2604"/>
    </row>
    <row r="133" spans="1:16" s="294" customFormat="1" ht="13.35" customHeight="1">
      <c r="A133" s="480"/>
      <c r="B133" s="480"/>
      <c r="C133" s="2604"/>
      <c r="D133" s="2604"/>
      <c r="E133" s="2604"/>
      <c r="F133" s="2604"/>
      <c r="G133" s="2604"/>
      <c r="H133" s="2604"/>
      <c r="I133" s="2604"/>
      <c r="J133" s="2604"/>
      <c r="K133" s="2604"/>
      <c r="L133" s="2604"/>
      <c r="M133" s="2604"/>
      <c r="N133" s="2604"/>
      <c r="O133" s="2604"/>
      <c r="P133" s="2604"/>
    </row>
    <row r="134" spans="1:16" s="294" customFormat="1" ht="13.35" customHeight="1">
      <c r="B134" s="480"/>
      <c r="C134" s="1722" t="s">
        <v>2108</v>
      </c>
      <c r="D134" s="1722"/>
      <c r="F134" s="1722" t="s">
        <v>1121</v>
      </c>
      <c r="G134" s="1729"/>
      <c r="H134" s="1729"/>
      <c r="I134" s="1729"/>
      <c r="J134" s="1722" t="s">
        <v>2108</v>
      </c>
      <c r="K134" s="1722"/>
      <c r="M134" s="1722" t="s">
        <v>1121</v>
      </c>
      <c r="N134" s="1729"/>
      <c r="O134" s="1729"/>
      <c r="P134" s="1729"/>
    </row>
    <row r="135" spans="1:16" s="294" customFormat="1" ht="13.35" customHeight="1">
      <c r="A135" s="480"/>
      <c r="B135" s="480"/>
      <c r="C135" s="2605">
        <v>1</v>
      </c>
      <c r="D135" s="2606"/>
      <c r="E135" s="2606"/>
      <c r="F135" s="2607"/>
      <c r="G135" s="2608"/>
      <c r="H135" s="2608"/>
      <c r="I135" s="2609"/>
      <c r="J135" s="2605">
        <v>7</v>
      </c>
      <c r="K135" s="2606"/>
      <c r="L135" s="2606"/>
      <c r="M135" s="2607"/>
      <c r="N135" s="2608"/>
      <c r="O135" s="2608"/>
      <c r="P135" s="2609"/>
    </row>
    <row r="136" spans="1:16" s="294" customFormat="1" ht="13.35" customHeight="1">
      <c r="A136" s="480"/>
      <c r="B136" s="480"/>
      <c r="C136" s="2571">
        <v>2</v>
      </c>
      <c r="D136" s="2572"/>
      <c r="E136" s="2572"/>
      <c r="F136" s="2573"/>
      <c r="G136" s="2574"/>
      <c r="H136" s="2574"/>
      <c r="I136" s="2575"/>
      <c r="J136" s="2571">
        <v>8</v>
      </c>
      <c r="K136" s="2572"/>
      <c r="L136" s="2572"/>
      <c r="M136" s="2573"/>
      <c r="N136" s="2574"/>
      <c r="O136" s="2574"/>
      <c r="P136" s="2575"/>
    </row>
    <row r="137" spans="1:16" s="294" customFormat="1" ht="13.35" customHeight="1">
      <c r="A137" s="480"/>
      <c r="B137" s="480"/>
      <c r="C137" s="2571">
        <v>3</v>
      </c>
      <c r="D137" s="2572"/>
      <c r="E137" s="2572"/>
      <c r="F137" s="2573"/>
      <c r="G137" s="2574"/>
      <c r="H137" s="2574"/>
      <c r="I137" s="2575"/>
      <c r="J137" s="2571">
        <v>9</v>
      </c>
      <c r="K137" s="2572"/>
      <c r="L137" s="2572"/>
      <c r="M137" s="2573"/>
      <c r="N137" s="2574"/>
      <c r="O137" s="2574"/>
      <c r="P137" s="2575"/>
    </row>
    <row r="138" spans="1:16" s="294" customFormat="1" ht="13.35" customHeight="1">
      <c r="A138" s="480"/>
      <c r="B138" s="480"/>
      <c r="C138" s="2571">
        <v>4</v>
      </c>
      <c r="D138" s="2572"/>
      <c r="E138" s="2572"/>
      <c r="F138" s="2573"/>
      <c r="G138" s="2574"/>
      <c r="H138" s="2574"/>
      <c r="I138" s="2575"/>
      <c r="J138" s="2571">
        <v>10</v>
      </c>
      <c r="K138" s="2572"/>
      <c r="L138" s="2572"/>
      <c r="M138" s="2573"/>
      <c r="N138" s="2574"/>
      <c r="O138" s="2574"/>
      <c r="P138" s="2575"/>
    </row>
    <row r="139" spans="1:16" s="294" customFormat="1" ht="13.35" customHeight="1">
      <c r="A139" s="480"/>
      <c r="B139" s="480"/>
      <c r="C139" s="2571">
        <v>5</v>
      </c>
      <c r="D139" s="2572"/>
      <c r="E139" s="2572"/>
      <c r="F139" s="2573"/>
      <c r="G139" s="2574"/>
      <c r="H139" s="2574"/>
      <c r="I139" s="2575"/>
      <c r="J139" s="2571">
        <v>11</v>
      </c>
      <c r="K139" s="2572"/>
      <c r="L139" s="2572"/>
      <c r="M139" s="2573"/>
      <c r="N139" s="2574"/>
      <c r="O139" s="2574"/>
      <c r="P139" s="2575"/>
    </row>
    <row r="140" spans="1:16" s="294" customFormat="1" ht="13.35" customHeight="1">
      <c r="A140" s="480"/>
      <c r="B140" s="480"/>
      <c r="C140" s="2599">
        <v>6</v>
      </c>
      <c r="D140" s="2600"/>
      <c r="E140" s="2600"/>
      <c r="F140" s="2601"/>
      <c r="G140" s="2602"/>
      <c r="H140" s="2602"/>
      <c r="I140" s="2603"/>
      <c r="J140" s="2599">
        <v>12</v>
      </c>
      <c r="K140" s="2600"/>
      <c r="L140" s="2600"/>
      <c r="M140" s="2601"/>
      <c r="N140" s="2602"/>
      <c r="O140" s="2602"/>
      <c r="P140" s="2603"/>
    </row>
    <row r="141" spans="1:16" s="294" customFormat="1" ht="1.5" customHeight="1">
      <c r="A141" s="480"/>
      <c r="B141" s="480"/>
      <c r="C141" s="1722"/>
      <c r="D141" s="1722"/>
      <c r="E141" s="1722"/>
      <c r="F141" s="1729"/>
      <c r="G141" s="1729"/>
      <c r="H141" s="1729"/>
      <c r="I141" s="1729"/>
      <c r="J141" s="310"/>
      <c r="K141" s="1729"/>
      <c r="L141" s="1729"/>
      <c r="N141" s="1726"/>
      <c r="O141" s="1726"/>
      <c r="P141" s="303"/>
    </row>
    <row r="142" spans="1:16" s="294" customFormat="1" ht="3" customHeight="1" thickBot="1">
      <c r="A142" s="480"/>
      <c r="B142" s="480"/>
      <c r="C142" s="1722"/>
      <c r="D142" s="1722"/>
      <c r="E142" s="1722"/>
      <c r="F142" s="1729"/>
      <c r="G142" s="1729"/>
      <c r="H142" s="1729"/>
      <c r="I142" s="1729"/>
      <c r="J142" s="310"/>
      <c r="K142" s="1729"/>
      <c r="L142" s="1729"/>
      <c r="N142" s="1726"/>
      <c r="O142" s="1726"/>
      <c r="P142" s="303"/>
    </row>
    <row r="143" spans="1:16" s="294" customFormat="1" ht="14.4" customHeight="1" thickBot="1">
      <c r="A143" s="296" t="s">
        <v>361</v>
      </c>
      <c r="B143" s="304" t="s">
        <v>4636</v>
      </c>
      <c r="D143" s="304"/>
      <c r="E143" s="304"/>
      <c r="F143" s="304"/>
      <c r="I143" s="2278" t="s">
        <v>2936</v>
      </c>
      <c r="M143" s="1729"/>
      <c r="N143" s="1726"/>
      <c r="O143" s="1726"/>
      <c r="P143" s="303"/>
    </row>
    <row r="144" spans="1:16" s="294" customFormat="1" ht="1.5" customHeight="1">
      <c r="A144" s="321"/>
      <c r="B144" s="480"/>
      <c r="C144" s="1610"/>
      <c r="D144" s="1610"/>
      <c r="E144" s="1610"/>
      <c r="F144" s="1610"/>
      <c r="G144" s="1729"/>
      <c r="M144" s="1729"/>
      <c r="N144" s="1726"/>
      <c r="O144" s="1726"/>
    </row>
    <row r="145" spans="1:16" s="294" customFormat="1" ht="13.35" customHeight="1">
      <c r="A145" s="480"/>
      <c r="B145" s="480" t="s">
        <v>1957</v>
      </c>
      <c r="C145" s="299" t="s">
        <v>1692</v>
      </c>
      <c r="I145" s="2270"/>
      <c r="M145" s="1729"/>
      <c r="N145" s="1726"/>
      <c r="O145" s="1726"/>
      <c r="P145" s="303"/>
    </row>
    <row r="146" spans="1:16" s="294" customFormat="1" ht="13.35" customHeight="1">
      <c r="A146" s="480"/>
      <c r="B146" s="480"/>
      <c r="C146" s="1722" t="s">
        <v>2388</v>
      </c>
      <c r="D146" s="1722"/>
      <c r="E146" s="1722"/>
      <c r="F146" s="1729"/>
      <c r="I146" s="2279"/>
      <c r="N146" s="1726"/>
      <c r="O146" s="1726"/>
      <c r="P146" s="303"/>
    </row>
    <row r="147" spans="1:16" s="294" customFormat="1" ht="13.35" customHeight="1">
      <c r="A147" s="480"/>
      <c r="B147" s="480"/>
      <c r="C147" s="326" t="s">
        <v>1691</v>
      </c>
      <c r="D147" s="1718"/>
      <c r="I147" s="2259"/>
      <c r="P147" s="303"/>
    </row>
    <row r="148" spans="1:16" s="294" customFormat="1" ht="13.35" customHeight="1">
      <c r="A148" s="480"/>
      <c r="B148" s="480"/>
      <c r="C148" s="1722" t="s">
        <v>2389</v>
      </c>
      <c r="D148" s="1722"/>
      <c r="E148" s="1610"/>
      <c r="F148" s="1729"/>
      <c r="I148" s="2279"/>
      <c r="K148" s="271" t="s">
        <v>2217</v>
      </c>
      <c r="O148" s="2559" t="s">
        <v>480</v>
      </c>
      <c r="P148" s="2561"/>
    </row>
    <row r="149" spans="1:16" s="294" customFormat="1" ht="13.35" customHeight="1">
      <c r="A149" s="480"/>
      <c r="B149" s="480"/>
      <c r="C149" s="1722" t="s">
        <v>2387</v>
      </c>
      <c r="F149" s="1729"/>
      <c r="I149" s="2280"/>
      <c r="K149" s="271" t="s">
        <v>2218</v>
      </c>
      <c r="O149" s="2595" t="s">
        <v>480</v>
      </c>
      <c r="P149" s="2596"/>
    </row>
    <row r="150" spans="1:16" s="294" customFormat="1" ht="13.35" customHeight="1">
      <c r="A150" s="480"/>
      <c r="B150" s="480"/>
      <c r="C150" s="1722" t="s">
        <v>2139</v>
      </c>
      <c r="D150" s="1722"/>
      <c r="E150" s="1722"/>
      <c r="F150" s="1729"/>
      <c r="I150" s="2597"/>
      <c r="J150" s="2598"/>
      <c r="N150" s="1726"/>
      <c r="O150" s="1726"/>
      <c r="P150" s="303"/>
    </row>
    <row r="151" spans="1:16" s="294" customFormat="1" ht="1.5" customHeight="1">
      <c r="A151" s="480"/>
      <c r="B151" s="480"/>
      <c r="C151" s="1722"/>
      <c r="D151" s="1722"/>
      <c r="E151" s="1722"/>
      <c r="F151" s="1729"/>
      <c r="G151" s="1729"/>
      <c r="M151" s="1729"/>
      <c r="N151" s="1726"/>
      <c r="O151" s="1726"/>
      <c r="P151" s="303"/>
    </row>
    <row r="152" spans="1:16" s="294" customFormat="1" ht="13.35" customHeight="1">
      <c r="A152" s="480"/>
      <c r="B152" s="480" t="s">
        <v>1959</v>
      </c>
      <c r="C152" s="1671" t="s">
        <v>2663</v>
      </c>
      <c r="D152" s="1722"/>
      <c r="E152" s="317" t="s">
        <v>4721</v>
      </c>
      <c r="F152" s="317"/>
      <c r="G152" s="317"/>
      <c r="I152" s="2281"/>
      <c r="K152" s="317" t="s">
        <v>4723</v>
      </c>
      <c r="L152" s="317"/>
      <c r="M152" s="317"/>
      <c r="O152" s="2282"/>
      <c r="P152" s="303"/>
    </row>
    <row r="153" spans="1:16" s="294" customFormat="1" ht="13.35" customHeight="1">
      <c r="A153" s="480"/>
      <c r="C153" s="1610"/>
      <c r="D153" s="1722"/>
      <c r="E153" s="317" t="s">
        <v>4722</v>
      </c>
      <c r="F153" s="317"/>
      <c r="G153" s="317"/>
      <c r="I153" s="2283"/>
      <c r="K153" s="317"/>
      <c r="L153" s="317"/>
      <c r="M153" s="317"/>
      <c r="P153" s="303"/>
    </row>
    <row r="154" spans="1:16" s="294" customFormat="1" ht="1.5" customHeight="1">
      <c r="A154" s="480"/>
      <c r="B154" s="480"/>
      <c r="C154" s="1722"/>
      <c r="D154" s="1722"/>
      <c r="E154" s="1722"/>
      <c r="F154" s="1729"/>
      <c r="N154" s="1726"/>
      <c r="O154" s="1726"/>
      <c r="P154" s="303"/>
    </row>
    <row r="155" spans="1:16" s="294" customFormat="1" ht="13.35" customHeight="1">
      <c r="A155" s="480"/>
      <c r="B155" s="480" t="s">
        <v>738</v>
      </c>
      <c r="C155" s="1610" t="s">
        <v>4720</v>
      </c>
      <c r="D155" s="1722"/>
      <c r="E155" s="1722"/>
      <c r="F155" s="1729"/>
      <c r="I155" s="2273"/>
      <c r="N155" s="1726"/>
      <c r="O155" s="1726"/>
      <c r="P155" s="303"/>
    </row>
    <row r="156" spans="1:16" s="294" customFormat="1" ht="3" customHeight="1">
      <c r="A156" s="480"/>
      <c r="B156" s="480"/>
      <c r="C156" s="1722"/>
      <c r="D156" s="1722"/>
      <c r="E156" s="1722"/>
      <c r="F156" s="1729"/>
      <c r="G156" s="1729"/>
      <c r="H156" s="1729"/>
      <c r="I156" s="1729"/>
      <c r="J156" s="310"/>
      <c r="K156" s="1729"/>
      <c r="L156" s="1729"/>
      <c r="N156" s="1726"/>
      <c r="O156" s="1726"/>
      <c r="P156" s="303"/>
    </row>
    <row r="157" spans="1:16" s="294" customFormat="1" ht="13.35" customHeight="1">
      <c r="A157" s="321" t="s">
        <v>1705</v>
      </c>
      <c r="B157" s="318" t="s">
        <v>1175</v>
      </c>
      <c r="D157" s="318"/>
      <c r="E157" s="318"/>
      <c r="F157" s="318"/>
      <c r="G157" s="1729"/>
      <c r="H157" s="1729"/>
      <c r="I157" s="1729"/>
      <c r="J157" s="310"/>
      <c r="K157" s="1729"/>
      <c r="L157" s="1729"/>
      <c r="N157" s="1726"/>
      <c r="O157" s="1726"/>
      <c r="P157" s="303"/>
    </row>
    <row r="158" spans="1:16" s="294" customFormat="1" ht="2.1" customHeight="1">
      <c r="A158" s="321"/>
      <c r="B158" s="480"/>
      <c r="C158" s="1610"/>
      <c r="D158" s="1610"/>
      <c r="E158" s="1610"/>
      <c r="F158" s="1610"/>
      <c r="G158" s="1729"/>
      <c r="H158" s="1729"/>
      <c r="I158" s="1729"/>
      <c r="J158" s="310"/>
      <c r="K158" s="1729"/>
      <c r="L158" s="1729"/>
      <c r="N158" s="1726"/>
      <c r="O158" s="1726"/>
    </row>
    <row r="159" spans="1:16" s="294" customFormat="1" ht="13.35" customHeight="1">
      <c r="A159" s="480"/>
      <c r="B159" s="480" t="s">
        <v>1957</v>
      </c>
      <c r="C159" s="309" t="s">
        <v>1797</v>
      </c>
      <c r="F159" s="1729"/>
      <c r="G159" s="1729"/>
      <c r="H159" s="1729"/>
      <c r="I159" s="1729"/>
      <c r="J159" s="310"/>
      <c r="K159" s="1729"/>
      <c r="L159" s="1729"/>
      <c r="N159" s="1726"/>
      <c r="O159" s="1726"/>
      <c r="P159" s="303"/>
    </row>
    <row r="160" spans="1:16" s="294" customFormat="1" ht="12.6" customHeight="1">
      <c r="A160" s="480"/>
      <c r="B160" s="480"/>
      <c r="C160" s="317" t="s">
        <v>1509</v>
      </c>
      <c r="D160" s="310"/>
      <c r="E160" s="310"/>
      <c r="F160" s="1729"/>
      <c r="G160" s="1729"/>
      <c r="H160" s="1729"/>
      <c r="I160" s="2284" t="s">
        <v>2936</v>
      </c>
      <c r="N160" s="1726"/>
      <c r="O160" s="1726"/>
      <c r="P160" s="303"/>
    </row>
    <row r="161" spans="1:16" s="294" customFormat="1" ht="12.6" customHeight="1">
      <c r="A161" s="480"/>
      <c r="B161" s="480"/>
      <c r="C161" s="2568" t="s">
        <v>4638</v>
      </c>
      <c r="D161" s="2568"/>
      <c r="E161" s="2568"/>
      <c r="F161" s="2568"/>
      <c r="G161" s="294" t="s">
        <v>4449</v>
      </c>
      <c r="I161" s="2285"/>
      <c r="K161" s="1718" t="s">
        <v>1773</v>
      </c>
      <c r="P161" s="1521">
        <f>IF('Part VI-Revenues &amp; Expenses'!$O$65=0,0,I161/'Part VI-Revenues &amp; Expenses'!$O$65)</f>
        <v>0</v>
      </c>
    </row>
    <row r="162" spans="1:16" s="294" customFormat="1" ht="12.6" customHeight="1">
      <c r="A162" s="480"/>
      <c r="B162" s="480"/>
      <c r="C162" s="2568"/>
      <c r="D162" s="2568"/>
      <c r="E162" s="2568"/>
      <c r="F162" s="2568"/>
      <c r="G162" s="294" t="s">
        <v>4448</v>
      </c>
      <c r="I162" s="2285"/>
      <c r="K162" s="1718" t="s">
        <v>1773</v>
      </c>
      <c r="O162" s="1727"/>
      <c r="P162" s="1522">
        <f>IF('Part VI-Revenues &amp; Expenses'!$O$65=0,0,I162/'Part VI-Revenues &amp; Expenses'!$O$65)</f>
        <v>0</v>
      </c>
    </row>
    <row r="163" spans="1:16" s="294" customFormat="1" ht="12" customHeight="1">
      <c r="A163" s="480"/>
      <c r="B163" s="480"/>
      <c r="C163" s="1718" t="s">
        <v>4450</v>
      </c>
      <c r="I163" s="2267"/>
      <c r="K163" s="1718" t="s">
        <v>1773</v>
      </c>
      <c r="O163" s="1520"/>
      <c r="P163" s="1523">
        <f>IF('Part VI-Revenues &amp; Expenses'!$O$65=0,0,I163/'Part VI-Revenues &amp; Expenses'!$O$65)</f>
        <v>0</v>
      </c>
    </row>
    <row r="164" spans="1:16" s="294" customFormat="1" ht="3" customHeight="1">
      <c r="A164" s="480"/>
      <c r="B164" s="480"/>
    </row>
    <row r="165" spans="1:16" s="294" customFormat="1" ht="12.6" customHeight="1">
      <c r="A165" s="480"/>
      <c r="B165" s="480"/>
      <c r="C165" s="294" t="s">
        <v>1774</v>
      </c>
      <c r="D165" s="2559"/>
      <c r="E165" s="2560"/>
      <c r="F165" s="2560"/>
      <c r="G165" s="2560"/>
      <c r="H165" s="2561"/>
      <c r="I165" s="1718" t="s">
        <v>4394</v>
      </c>
      <c r="N165" s="2556"/>
      <c r="O165" s="2557"/>
      <c r="P165" s="2558"/>
    </row>
    <row r="166" spans="1:16" s="294" customFormat="1" ht="12.6" customHeight="1">
      <c r="A166" s="480"/>
      <c r="B166" s="480"/>
      <c r="C166" s="1718" t="s">
        <v>4395</v>
      </c>
      <c r="D166" s="2553"/>
      <c r="E166" s="2554"/>
      <c r="F166" s="2567"/>
      <c r="G166" s="2554"/>
      <c r="H166" s="2555"/>
      <c r="I166" s="1725" t="s">
        <v>1775</v>
      </c>
      <c r="J166" s="2559"/>
      <c r="K166" s="2560"/>
      <c r="L166" s="2561"/>
      <c r="M166" s="1503" t="s">
        <v>1954</v>
      </c>
      <c r="N166" s="2553"/>
      <c r="O166" s="2554"/>
      <c r="P166" s="2555"/>
    </row>
    <row r="167" spans="1:16" s="294" customFormat="1" ht="12.6" customHeight="1">
      <c r="A167" s="480"/>
      <c r="B167" s="480"/>
      <c r="C167" s="1718" t="s">
        <v>607</v>
      </c>
      <c r="D167" s="2553"/>
      <c r="E167" s="2555"/>
      <c r="F167" s="1501" t="s">
        <v>2201</v>
      </c>
      <c r="G167" s="2562"/>
      <c r="H167" s="2563"/>
      <c r="I167" s="327" t="s">
        <v>1778</v>
      </c>
      <c r="J167" s="2550"/>
      <c r="K167" s="2551"/>
      <c r="L167" s="2552"/>
      <c r="M167" s="1502" t="s">
        <v>1953</v>
      </c>
      <c r="N167" s="2550"/>
      <c r="O167" s="2551"/>
      <c r="P167" s="2552"/>
    </row>
    <row r="168" spans="1:16" s="294" customFormat="1" ht="12.6" customHeight="1">
      <c r="A168" s="480"/>
      <c r="B168" s="480"/>
      <c r="C168" s="294" t="s">
        <v>2666</v>
      </c>
      <c r="D168" s="2564"/>
      <c r="E168" s="2565"/>
      <c r="F168" s="2565"/>
      <c r="G168" s="2565"/>
      <c r="H168" s="2566"/>
      <c r="I168" s="327" t="s">
        <v>1777</v>
      </c>
      <c r="J168" s="2547"/>
      <c r="K168" s="2548"/>
      <c r="L168" s="2548"/>
      <c r="M168" s="2548"/>
      <c r="N168" s="2548"/>
      <c r="O168" s="2548"/>
      <c r="P168" s="2549"/>
    </row>
    <row r="169" spans="1:16" s="294" customFormat="1" ht="12" customHeight="1">
      <c r="A169" s="480"/>
      <c r="B169" s="480"/>
      <c r="C169" s="294" t="s">
        <v>4451</v>
      </c>
      <c r="E169" s="328"/>
      <c r="F169" s="328"/>
      <c r="G169" s="328"/>
      <c r="H169" s="1729"/>
      <c r="I169" s="2282"/>
      <c r="J169" s="2569" t="s">
        <v>750</v>
      </c>
      <c r="K169" s="2570"/>
      <c r="L169" s="2273"/>
      <c r="M169" s="328"/>
      <c r="N169" s="1729"/>
      <c r="O169" s="328"/>
      <c r="P169" s="328"/>
    </row>
    <row r="170" spans="1:16" s="294" customFormat="1" ht="3" customHeight="1">
      <c r="A170" s="480"/>
      <c r="B170" s="480"/>
    </row>
    <row r="171" spans="1:16" s="294" customFormat="1" ht="12.6" customHeight="1">
      <c r="A171" s="480"/>
      <c r="B171" s="480" t="s">
        <v>1959</v>
      </c>
      <c r="C171" s="1720" t="s">
        <v>2664</v>
      </c>
      <c r="D171" s="1720"/>
      <c r="E171" s="1720"/>
      <c r="F171" s="1720"/>
      <c r="G171" s="1720"/>
      <c r="I171" s="2286" t="s">
        <v>2936</v>
      </c>
      <c r="J171" s="2540" t="s">
        <v>750</v>
      </c>
      <c r="K171" s="2541"/>
      <c r="L171" s="2286"/>
      <c r="M171" s="2542" t="s">
        <v>2297</v>
      </c>
      <c r="N171" s="2543"/>
      <c r="O171" s="2544"/>
      <c r="P171" s="2287"/>
    </row>
    <row r="172" spans="1:16" s="294" customFormat="1" ht="12.6" customHeight="1">
      <c r="A172" s="480"/>
      <c r="B172" s="480"/>
      <c r="C172" s="1720" t="s">
        <v>2665</v>
      </c>
      <c r="D172" s="1720"/>
      <c r="E172" s="1720"/>
      <c r="F172" s="1720"/>
      <c r="G172" s="1720"/>
      <c r="I172" s="2271" t="s">
        <v>2933</v>
      </c>
      <c r="J172" s="2540" t="s">
        <v>750</v>
      </c>
      <c r="K172" s="2541"/>
      <c r="L172" s="2271">
        <v>2051</v>
      </c>
      <c r="M172" s="2542" t="s">
        <v>2297</v>
      </c>
      <c r="N172" s="2543"/>
      <c r="O172" s="2544"/>
      <c r="P172" s="2288">
        <v>15</v>
      </c>
    </row>
    <row r="173" spans="1:16" s="294" customFormat="1" ht="1.5" customHeight="1">
      <c r="A173" s="480"/>
      <c r="B173" s="480"/>
      <c r="C173" s="1720"/>
      <c r="D173" s="1720"/>
      <c r="E173" s="296"/>
      <c r="F173" s="1720"/>
      <c r="G173" s="1720"/>
      <c r="J173" s="1726"/>
      <c r="K173" s="370"/>
      <c r="M173" s="1726"/>
      <c r="O173" s="1729"/>
      <c r="P173" s="303"/>
    </row>
    <row r="174" spans="1:16" s="294" customFormat="1" ht="12.6" customHeight="1">
      <c r="A174" s="480"/>
      <c r="B174" s="480" t="s">
        <v>738</v>
      </c>
      <c r="C174" s="1720" t="s">
        <v>1735</v>
      </c>
      <c r="D174" s="1720"/>
      <c r="E174" s="1720"/>
      <c r="F174" s="1720"/>
      <c r="G174" s="1720"/>
      <c r="I174" s="2264" t="s">
        <v>2936</v>
      </c>
      <c r="L174" s="168"/>
      <c r="M174" s="168"/>
      <c r="P174" s="303"/>
    </row>
    <row r="175" spans="1:16" s="294" customFormat="1" ht="1.5" customHeight="1">
      <c r="A175" s="480"/>
      <c r="B175" s="480"/>
      <c r="C175" s="1718"/>
      <c r="E175" s="328"/>
      <c r="F175" s="328"/>
      <c r="G175" s="328"/>
      <c r="I175" s="328"/>
      <c r="J175" s="328"/>
      <c r="K175" s="1729"/>
      <c r="L175" s="328"/>
      <c r="M175" s="328"/>
      <c r="N175" s="1729"/>
      <c r="O175" s="328"/>
      <c r="P175" s="328"/>
    </row>
    <row r="176" spans="1:16" s="294" customFormat="1" ht="12.6" customHeight="1">
      <c r="A176" s="480"/>
      <c r="B176" s="480" t="s">
        <v>2088</v>
      </c>
      <c r="C176" s="2545" t="s">
        <v>1952</v>
      </c>
      <c r="D176" s="2545"/>
      <c r="E176" s="2545"/>
      <c r="F176" s="2545"/>
      <c r="G176" s="1720"/>
      <c r="I176" s="2264" t="s">
        <v>2936</v>
      </c>
      <c r="J176" s="330" t="s">
        <v>2709</v>
      </c>
      <c r="L176" s="2546" t="s">
        <v>3600</v>
      </c>
      <c r="M176" s="2546"/>
      <c r="N176" s="1720"/>
      <c r="O176" s="1720"/>
      <c r="P176" s="2265"/>
    </row>
    <row r="177" spans="1:16" s="294" customFormat="1" ht="12.6" customHeight="1">
      <c r="B177" s="480"/>
      <c r="L177" s="2576" t="s">
        <v>785</v>
      </c>
      <c r="M177" s="2576"/>
      <c r="N177" s="1610"/>
      <c r="O177" s="1610"/>
      <c r="P177" s="2267"/>
    </row>
    <row r="178" spans="1:16" s="294" customFormat="1" ht="12.6" customHeight="1">
      <c r="A178" s="480"/>
      <c r="B178" s="480"/>
      <c r="L178" s="2576" t="s">
        <v>1769</v>
      </c>
      <c r="M178" s="2576"/>
      <c r="N178" s="1610"/>
      <c r="O178" s="1610"/>
      <c r="P178" s="329" t="str">
        <f>IF(P176="","",P177/P176)</f>
        <v/>
      </c>
    </row>
    <row r="179" spans="1:16" s="294" customFormat="1" ht="13.35" customHeight="1">
      <c r="A179" s="480"/>
      <c r="B179" s="480" t="s">
        <v>1714</v>
      </c>
      <c r="C179" s="1720" t="s">
        <v>1590</v>
      </c>
      <c r="D179" s="1722"/>
      <c r="E179" s="1722"/>
      <c r="F179" s="1722"/>
      <c r="G179" s="1722"/>
      <c r="H179" s="1729"/>
      <c r="J179" s="302"/>
      <c r="K179" s="310"/>
      <c r="M179" s="1726"/>
      <c r="O179" s="1729"/>
      <c r="P179" s="303"/>
    </row>
    <row r="180" spans="1:16" s="294" customFormat="1" ht="12.6" customHeight="1">
      <c r="A180" s="480"/>
      <c r="B180" s="480"/>
      <c r="C180" s="1726" t="s">
        <v>2184</v>
      </c>
      <c r="D180" s="304"/>
      <c r="E180" s="1726"/>
      <c r="F180" s="1726"/>
      <c r="I180" s="2284" t="s">
        <v>2936</v>
      </c>
      <c r="L180" s="1726" t="s">
        <v>1591</v>
      </c>
      <c r="M180" s="1726"/>
      <c r="N180" s="1726"/>
      <c r="P180" s="2284" t="s">
        <v>2933</v>
      </c>
    </row>
    <row r="181" spans="1:16" s="294" customFormat="1" ht="12.6" customHeight="1">
      <c r="A181" s="480"/>
      <c r="B181" s="480"/>
      <c r="C181" s="1726" t="s">
        <v>2185</v>
      </c>
      <c r="I181" s="2280" t="s">
        <v>2936</v>
      </c>
      <c r="L181" s="1726" t="s">
        <v>2791</v>
      </c>
      <c r="M181" s="1726"/>
      <c r="N181" s="1726"/>
      <c r="P181" s="2280" t="s">
        <v>2936</v>
      </c>
    </row>
    <row r="182" spans="1:16" s="294" customFormat="1" ht="12.6" customHeight="1">
      <c r="A182" s="480"/>
      <c r="C182" s="1726" t="s">
        <v>2682</v>
      </c>
      <c r="I182" s="2280" t="s">
        <v>2936</v>
      </c>
      <c r="L182" s="1726" t="s">
        <v>2653</v>
      </c>
      <c r="N182" s="2577"/>
      <c r="O182" s="2578"/>
      <c r="P182" s="2280" t="s">
        <v>2936</v>
      </c>
    </row>
    <row r="183" spans="1:16" s="294" customFormat="1" ht="12.6" customHeight="1">
      <c r="A183" s="480"/>
      <c r="B183" s="480"/>
      <c r="C183" s="1726" t="s">
        <v>1270</v>
      </c>
      <c r="D183" s="331"/>
      <c r="I183" s="2280" t="s">
        <v>2936</v>
      </c>
      <c r="K183" s="304"/>
      <c r="L183" s="1726" t="s">
        <v>3415</v>
      </c>
      <c r="M183" s="1726"/>
      <c r="N183" s="1726"/>
      <c r="P183" s="2280" t="s">
        <v>2936</v>
      </c>
    </row>
    <row r="184" spans="1:16" s="294" customFormat="1" ht="12.6" customHeight="1">
      <c r="A184" s="480"/>
      <c r="B184" s="296"/>
      <c r="C184" s="1726" t="s">
        <v>1783</v>
      </c>
      <c r="I184" s="2280" t="s">
        <v>2936</v>
      </c>
      <c r="J184" s="330" t="s">
        <v>2710</v>
      </c>
      <c r="O184" s="2579"/>
      <c r="P184" s="2580"/>
    </row>
    <row r="185" spans="1:16" s="294" customFormat="1" ht="12.6" customHeight="1">
      <c r="A185" s="480"/>
      <c r="B185" s="480"/>
      <c r="C185" s="1726" t="s">
        <v>2846</v>
      </c>
      <c r="I185" s="2283" t="s">
        <v>2936</v>
      </c>
      <c r="J185" s="330" t="s">
        <v>2710</v>
      </c>
      <c r="O185" s="2581"/>
      <c r="P185" s="2582"/>
    </row>
    <row r="186" spans="1:16" s="294" customFormat="1" ht="1.5" customHeight="1">
      <c r="A186" s="480"/>
      <c r="B186" s="480"/>
      <c r="P186" s="302"/>
    </row>
    <row r="187" spans="1:16" s="294" customFormat="1" ht="13.35" customHeight="1">
      <c r="B187" s="480" t="s">
        <v>1715</v>
      </c>
      <c r="C187" s="299" t="s">
        <v>728</v>
      </c>
    </row>
    <row r="188" spans="1:16" s="294" customFormat="1" ht="12.6" customHeight="1">
      <c r="A188" s="480"/>
      <c r="B188" s="480"/>
      <c r="C188" s="1718" t="s">
        <v>628</v>
      </c>
      <c r="D188" s="1722"/>
      <c r="E188" s="1722"/>
      <c r="F188" s="1729"/>
      <c r="G188" s="1729"/>
      <c r="H188" s="2583"/>
      <c r="I188" s="2584"/>
      <c r="N188" s="1726"/>
      <c r="O188" s="1726"/>
      <c r="P188" s="303"/>
    </row>
    <row r="189" spans="1:16" s="294" customFormat="1" ht="12.6" customHeight="1">
      <c r="A189" s="480"/>
      <c r="B189" s="480"/>
      <c r="C189" s="1718" t="s">
        <v>273</v>
      </c>
      <c r="D189" s="1722"/>
      <c r="E189" s="1722"/>
      <c r="F189" s="1729"/>
      <c r="G189" s="1729"/>
      <c r="H189" s="2591"/>
      <c r="I189" s="2592"/>
      <c r="N189" s="1726"/>
      <c r="O189" s="1726"/>
      <c r="P189" s="303"/>
    </row>
    <row r="190" spans="1:16" s="294" customFormat="1" ht="12.6" customHeight="1">
      <c r="A190" s="480"/>
      <c r="B190" s="480"/>
      <c r="C190" s="1718" t="s">
        <v>2266</v>
      </c>
      <c r="D190" s="1722"/>
      <c r="E190" s="1722"/>
      <c r="F190" s="1729"/>
      <c r="G190" s="1729"/>
      <c r="H190" s="2593">
        <v>44438</v>
      </c>
      <c r="I190" s="2594"/>
      <c r="N190" s="1726"/>
      <c r="O190" s="1726"/>
      <c r="P190" s="303"/>
    </row>
    <row r="191" spans="1:16" s="294" customFormat="1" ht="2.25" customHeight="1">
      <c r="B191" s="296"/>
      <c r="C191" s="1726"/>
      <c r="H191" s="1726"/>
      <c r="L191" s="312"/>
      <c r="M191" s="312"/>
      <c r="N191" s="312"/>
      <c r="O191" s="312"/>
      <c r="P191" s="300"/>
    </row>
    <row r="192" spans="1:16" ht="12" customHeight="1">
      <c r="A192" s="321" t="s">
        <v>2736</v>
      </c>
      <c r="C192" s="321" t="s">
        <v>562</v>
      </c>
      <c r="M192" s="321" t="s">
        <v>2223</v>
      </c>
      <c r="N192" s="321" t="s">
        <v>77</v>
      </c>
    </row>
    <row r="193" spans="1:44" ht="409.5" customHeight="1">
      <c r="A193" s="2585" t="s">
        <v>4907</v>
      </c>
      <c r="B193" s="2586"/>
      <c r="C193" s="2586"/>
      <c r="D193" s="2586"/>
      <c r="E193" s="2586"/>
      <c r="F193" s="2586"/>
      <c r="G193" s="2586"/>
      <c r="H193" s="2586"/>
      <c r="I193" s="2586"/>
      <c r="J193" s="2586"/>
      <c r="K193" s="2586"/>
      <c r="L193" s="2587"/>
      <c r="M193" s="2588"/>
      <c r="N193" s="2589"/>
      <c r="O193" s="2589"/>
      <c r="P193" s="2590"/>
      <c r="Q193" s="2538" t="s">
        <v>2655</v>
      </c>
      <c r="R193" s="2538"/>
      <c r="S193" s="2538"/>
      <c r="T193" s="2538"/>
      <c r="U193" s="2538"/>
    </row>
    <row r="194" spans="1:44" ht="12" customHeight="1">
      <c r="Q194" s="2538"/>
      <c r="R194" s="2538"/>
      <c r="S194" s="2538"/>
      <c r="T194" s="2538"/>
      <c r="U194" s="2538"/>
    </row>
    <row r="197" spans="1:44">
      <c r="P197" s="1079"/>
      <c r="Q197" s="1079"/>
      <c r="R197" s="1079"/>
    </row>
    <row r="198" spans="1:44">
      <c r="P198" s="1079"/>
      <c r="Q198" s="1079"/>
      <c r="R198" s="1079"/>
    </row>
    <row r="199" spans="1:44">
      <c r="P199" s="1079"/>
      <c r="Q199" s="1079"/>
      <c r="R199" s="1079"/>
    </row>
    <row r="200" spans="1:44">
      <c r="P200" s="1079"/>
      <c r="Q200" s="1079"/>
      <c r="R200" s="1079"/>
    </row>
    <row r="201" spans="1:44" s="485" customFormat="1" ht="12" customHeight="1">
      <c r="A201" s="312"/>
      <c r="B201" s="332"/>
      <c r="C201" s="312"/>
      <c r="D201" s="312"/>
      <c r="E201" s="312"/>
      <c r="F201" s="312"/>
      <c r="G201" s="312"/>
      <c r="H201" s="312"/>
      <c r="I201" s="312"/>
      <c r="J201" s="312"/>
      <c r="K201" s="312"/>
      <c r="L201" s="312"/>
      <c r="M201" s="312"/>
      <c r="N201" s="312"/>
      <c r="O201" s="312"/>
      <c r="P201" s="1079"/>
      <c r="Q201" s="1079"/>
      <c r="R201" s="1079"/>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80"/>
      <c r="Q202" s="1079"/>
      <c r="R202" s="1079"/>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1"/>
      <c r="Q203" s="1079"/>
      <c r="R203" s="1079"/>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1"/>
      <c r="Q204" s="1079"/>
      <c r="R204" s="1079"/>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1"/>
      <c r="Q205" s="1079"/>
      <c r="R205" s="1079"/>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1"/>
      <c r="Q206" s="1079"/>
      <c r="R206" s="1079"/>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1"/>
      <c r="Q207" s="1079"/>
      <c r="R207" s="1079"/>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1"/>
      <c r="Q208" s="1079"/>
      <c r="R208" s="1079"/>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1"/>
      <c r="Q209" s="1079"/>
      <c r="R209" s="1079"/>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1"/>
      <c r="Q210" s="2289"/>
      <c r="R210" s="1079"/>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1"/>
      <c r="Q211" s="2289"/>
      <c r="R211" s="1079"/>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1"/>
      <c r="Q212" s="2289"/>
      <c r="R212" s="1079"/>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1"/>
      <c r="Q213" s="2289"/>
      <c r="R213" s="1079"/>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2828</v>
      </c>
      <c r="K214" s="312"/>
      <c r="L214" s="312"/>
      <c r="M214" s="312"/>
      <c r="N214" s="312"/>
      <c r="O214" s="312"/>
      <c r="P214" s="1081"/>
      <c r="Q214" s="2289"/>
      <c r="R214" s="1079"/>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2829</v>
      </c>
      <c r="K215" s="312"/>
      <c r="L215" s="312"/>
      <c r="M215" s="312"/>
      <c r="N215" s="312"/>
      <c r="O215" s="312"/>
      <c r="P215" s="1081"/>
      <c r="Q215" s="2289"/>
      <c r="R215" s="1079"/>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2830</v>
      </c>
      <c r="K216" s="312"/>
      <c r="L216" s="312"/>
      <c r="M216" s="312"/>
      <c r="N216" s="312"/>
      <c r="O216" s="312"/>
      <c r="P216" s="1081"/>
      <c r="Q216" s="2289"/>
      <c r="R216" s="1079"/>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2831</v>
      </c>
      <c r="K217" s="312"/>
      <c r="L217" s="312"/>
      <c r="M217" s="312"/>
      <c r="N217" s="312"/>
      <c r="O217" s="312"/>
      <c r="P217" s="1081"/>
      <c r="Q217" s="2289"/>
      <c r="R217" s="1079"/>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2832</v>
      </c>
      <c r="K218" s="312"/>
      <c r="L218" s="312"/>
      <c r="M218" s="312"/>
      <c r="N218" s="312"/>
      <c r="O218" s="312"/>
      <c r="P218" s="1081"/>
      <c r="Q218" s="2289"/>
      <c r="R218" s="1079"/>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2833</v>
      </c>
      <c r="K219" s="312"/>
      <c r="L219" s="312"/>
      <c r="M219" s="312"/>
      <c r="N219" s="312"/>
      <c r="O219" s="312"/>
      <c r="P219" s="1081"/>
      <c r="Q219" s="2289"/>
      <c r="R219" s="1079"/>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2834</v>
      </c>
      <c r="K220" s="312"/>
      <c r="L220" s="312"/>
      <c r="M220" s="312"/>
      <c r="N220" s="312"/>
      <c r="O220" s="312"/>
      <c r="P220" s="1081"/>
      <c r="Q220" s="2289"/>
      <c r="R220" s="1079"/>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2835</v>
      </c>
      <c r="K221" s="312"/>
      <c r="L221" s="312"/>
      <c r="M221" s="312"/>
      <c r="N221" s="312"/>
      <c r="O221" s="312"/>
      <c r="P221" s="1081"/>
      <c r="Q221" s="2289"/>
      <c r="R221" s="1079"/>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2836</v>
      </c>
      <c r="K222" s="312"/>
      <c r="L222" s="312"/>
      <c r="M222" s="312"/>
      <c r="N222" s="312"/>
      <c r="O222" s="312"/>
      <c r="P222" s="1081"/>
      <c r="Q222" s="2289"/>
      <c r="R222" s="1079"/>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3741</v>
      </c>
      <c r="K223" s="312"/>
      <c r="L223" s="312"/>
      <c r="M223" s="312"/>
      <c r="N223" s="312"/>
      <c r="O223" s="312"/>
      <c r="P223" s="1081"/>
      <c r="Q223" s="2289"/>
      <c r="R223" s="1079"/>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1"/>
      <c r="Q224" s="2289"/>
      <c r="R224" s="1079"/>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1"/>
      <c r="Q225" s="2289"/>
      <c r="R225" s="1079"/>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1"/>
      <c r="Q226" s="2289"/>
      <c r="R226" s="1079"/>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1"/>
      <c r="Q227" s="2289"/>
      <c r="R227" s="1079"/>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1"/>
      <c r="Q228" s="2289"/>
      <c r="R228" s="1079"/>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290"/>
      <c r="Q229" s="1079"/>
      <c r="R229" s="1079"/>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1"/>
      <c r="Q230" s="2289"/>
      <c r="R230" s="1079"/>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1"/>
      <c r="Q231" s="2289"/>
      <c r="R231" s="1079"/>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1"/>
      <c r="Q232" s="2289"/>
      <c r="R232" s="1079"/>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290"/>
      <c r="Q233" s="1079"/>
      <c r="R233" s="1079"/>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1"/>
      <c r="Q234" s="2289"/>
      <c r="R234" s="1079"/>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1"/>
      <c r="Q235" s="2289"/>
      <c r="R235" s="1079"/>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1"/>
      <c r="Q236" s="2289"/>
      <c r="R236" s="1079"/>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1"/>
      <c r="Q237" s="2289"/>
      <c r="R237" s="1079"/>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1"/>
      <c r="Q238" s="2289"/>
      <c r="R238" s="1079"/>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1"/>
      <c r="Q239" s="2289"/>
      <c r="R239" s="1079"/>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1"/>
      <c r="Q240" s="2289"/>
      <c r="R240" s="1079"/>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1"/>
      <c r="Q241" s="2289"/>
      <c r="R241" s="1079"/>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1"/>
      <c r="Q242" s="2289"/>
      <c r="R242" s="1079"/>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1"/>
      <c r="Q243" s="2289"/>
      <c r="R243" s="1079"/>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1"/>
      <c r="Q244" s="2289"/>
      <c r="R244" s="1079"/>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1"/>
      <c r="Q245" s="2289"/>
      <c r="R245" s="1079"/>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1"/>
      <c r="Q246" s="2289"/>
      <c r="R246" s="1079"/>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291"/>
      <c r="Q247" s="2289"/>
      <c r="R247" s="1081"/>
      <c r="S247" s="2292"/>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1"/>
      <c r="Q248" s="2289"/>
      <c r="R248" s="1081"/>
      <c r="S248" s="2292"/>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1"/>
      <c r="Q249" s="2289"/>
      <c r="R249" s="1081"/>
      <c r="S249" s="2292"/>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1"/>
      <c r="Q250" s="2289"/>
      <c r="R250" s="1081"/>
      <c r="S250" s="229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1"/>
      <c r="Q251" s="1079"/>
      <c r="R251" s="1079"/>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290"/>
      <c r="Q252" s="1079"/>
      <c r="R252" s="1079"/>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1"/>
      <c r="Q253" s="2289"/>
      <c r="R253" s="1079"/>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1"/>
      <c r="Q254" s="2289"/>
      <c r="R254" s="1079"/>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291"/>
      <c r="Q255" s="2289"/>
      <c r="R255" s="1079"/>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1"/>
      <c r="Q256" s="2289"/>
      <c r="R256" s="1079"/>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1"/>
      <c r="Q257" s="2289"/>
      <c r="R257" s="1079"/>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1"/>
      <c r="Q258" s="2289"/>
      <c r="R258" s="1079"/>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1"/>
      <c r="Q259" s="2289"/>
      <c r="R259" s="1079"/>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1"/>
      <c r="Q260" s="2289"/>
      <c r="R260" s="1079"/>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1"/>
      <c r="Q261" s="2289"/>
      <c r="R261" s="1079"/>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1"/>
      <c r="Q262" s="2289"/>
      <c r="R262" s="1079"/>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291"/>
      <c r="Q263" s="2289"/>
      <c r="R263" s="1079"/>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1"/>
      <c r="Q264" s="2289"/>
      <c r="R264" s="1079"/>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1"/>
      <c r="Q265" s="2289"/>
      <c r="R265" s="1079"/>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1"/>
      <c r="Q266" s="2289"/>
      <c r="R266" s="1079"/>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1"/>
      <c r="Q267" s="2289"/>
      <c r="R267" s="1079"/>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1"/>
      <c r="Q268" s="2289"/>
      <c r="R268" s="1079"/>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1"/>
      <c r="Q269" s="2289"/>
      <c r="R269" s="1079"/>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1"/>
      <c r="Q270" s="2289"/>
      <c r="R270" s="1079"/>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1"/>
      <c r="Q271" s="2289"/>
      <c r="R271" s="1079"/>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1"/>
      <c r="Q272" s="2289"/>
      <c r="R272" s="1079"/>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1"/>
      <c r="Q273" s="2289"/>
      <c r="R273" s="1079"/>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1"/>
      <c r="Q274" s="2289"/>
      <c r="R274" s="1079"/>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1"/>
      <c r="Q275" s="2289"/>
      <c r="R275" s="1079"/>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1"/>
      <c r="Q276" s="2289"/>
      <c r="R276" s="1079"/>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1"/>
      <c r="Q277" s="2289"/>
      <c r="R277" s="1079"/>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2"/>
      <c r="Q278" s="2289"/>
      <c r="R278" s="1079"/>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1"/>
      <c r="Q279" s="2289"/>
      <c r="R279" s="1079"/>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1"/>
      <c r="Q280" s="2289"/>
      <c r="R280" s="1079"/>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1"/>
      <c r="Q281" s="2289"/>
      <c r="R281" s="1079"/>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1"/>
      <c r="Q282" s="2289"/>
      <c r="R282" s="1079"/>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1"/>
      <c r="Q283" s="2289"/>
      <c r="R283" s="1079"/>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1"/>
      <c r="Q284" s="2289"/>
      <c r="R284" s="1079"/>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1"/>
      <c r="Q285" s="2289"/>
      <c r="R285" s="1079"/>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1"/>
      <c r="Q286" s="2289"/>
      <c r="R286" s="1079"/>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1"/>
      <c r="Q287" s="2289"/>
      <c r="R287" s="1079"/>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1"/>
      <c r="Q288" s="2289"/>
      <c r="R288" s="1079"/>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1"/>
      <c r="Q289" s="2289"/>
      <c r="R289" s="1079"/>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1"/>
      <c r="Q290" s="2289"/>
      <c r="R290" s="1079"/>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1"/>
      <c r="Q291" s="2289"/>
      <c r="R291" s="1079"/>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1"/>
      <c r="Q292" s="2289"/>
      <c r="R292" s="1079"/>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1"/>
      <c r="Q293" s="2289"/>
      <c r="R293" s="1079"/>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1"/>
      <c r="Q294" s="2289"/>
      <c r="R294" s="1079"/>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1"/>
      <c r="Q295" s="2289"/>
      <c r="R295" s="1079"/>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1"/>
      <c r="Q296" s="2289"/>
      <c r="R296" s="1079"/>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1"/>
      <c r="Q297" s="2289"/>
      <c r="R297" s="1079"/>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1"/>
      <c r="Q298" s="2289"/>
      <c r="R298" s="1079"/>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1"/>
      <c r="Q299" s="2289"/>
      <c r="R299" s="1079"/>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1"/>
      <c r="Q300" s="2289"/>
      <c r="R300" s="1079"/>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1"/>
      <c r="Q301" s="2289"/>
      <c r="R301" s="1079"/>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1"/>
      <c r="Q302" s="2289"/>
      <c r="R302" s="1079"/>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1"/>
      <c r="Q303" s="2289"/>
      <c r="R303" s="1079"/>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1"/>
      <c r="Q304" s="2289"/>
      <c r="R304" s="1079"/>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291"/>
      <c r="Q305" s="2289"/>
      <c r="R305" s="1079"/>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1"/>
      <c r="Q306" s="2289"/>
      <c r="R306" s="1079"/>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1"/>
      <c r="Q307" s="2289"/>
      <c r="R307" s="1079"/>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1"/>
      <c r="Q308" s="2289"/>
      <c r="R308" s="1079"/>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1"/>
      <c r="Q309" s="2289"/>
      <c r="R309" s="1079"/>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1"/>
      <c r="Q310" s="2289"/>
      <c r="R310" s="1079"/>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1"/>
      <c r="Q311" s="2289"/>
      <c r="R311" s="1079"/>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1"/>
      <c r="Q312" s="2289"/>
      <c r="R312" s="1079"/>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1"/>
      <c r="Q313" s="2289"/>
      <c r="R313" s="1079"/>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1"/>
      <c r="Q314" s="2289"/>
      <c r="R314" s="1079"/>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1"/>
      <c r="Q315" s="2289"/>
      <c r="R315" s="1079"/>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1"/>
      <c r="Q316" s="1079"/>
      <c r="R316" s="1079"/>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1"/>
      <c r="Q317" s="2289"/>
      <c r="R317" s="1079"/>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1"/>
      <c r="Q318" s="2289"/>
      <c r="R318" s="1079"/>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1"/>
      <c r="Q319" s="2289"/>
      <c r="R319" s="1079"/>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290"/>
      <c r="Q320" s="1079"/>
      <c r="R320" s="1079"/>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1"/>
      <c r="Q321" s="2289"/>
      <c r="R321" s="1079"/>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1"/>
      <c r="Q322" s="2289"/>
      <c r="R322" s="1079"/>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1"/>
      <c r="Q323" s="2289"/>
      <c r="R323" s="1079"/>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290"/>
      <c r="Q324" s="1079"/>
      <c r="R324" s="1079"/>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1"/>
      <c r="Q325" s="2289"/>
      <c r="R325" s="1079"/>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1"/>
      <c r="Q326" s="2289"/>
      <c r="R326" s="1079"/>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1"/>
      <c r="Q327" s="1079"/>
      <c r="R327" s="1079"/>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291"/>
      <c r="Q328" s="1079"/>
      <c r="R328" s="1079"/>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1"/>
      <c r="Q329" s="2289"/>
      <c r="R329" s="1079"/>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1"/>
      <c r="Q330" s="2289"/>
      <c r="R330" s="1079"/>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1"/>
      <c r="Q331" s="2289"/>
      <c r="R331" s="1079"/>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290"/>
      <c r="Q332" s="1079"/>
      <c r="R332" s="1079"/>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1"/>
      <c r="Q333" s="2289"/>
      <c r="R333" s="1079"/>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291"/>
      <c r="Q334" s="2289"/>
      <c r="R334" s="1079"/>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1"/>
      <c r="Q335" s="1079"/>
      <c r="R335" s="1079"/>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1"/>
      <c r="Q336" s="2289"/>
      <c r="R336" s="1079"/>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1"/>
      <c r="Q337" s="2289"/>
      <c r="R337" s="1079"/>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1"/>
      <c r="Q338" s="2289"/>
      <c r="R338" s="1079"/>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1"/>
      <c r="Q339" s="1079"/>
      <c r="R339" s="1079"/>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290"/>
      <c r="Q340" s="2289"/>
      <c r="R340" s="1079"/>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1"/>
      <c r="Q341" s="2289"/>
      <c r="R341" s="1079"/>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1"/>
      <c r="Q342" s="2289"/>
      <c r="R342" s="1079"/>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1"/>
      <c r="Q343" s="2289"/>
      <c r="R343" s="1079"/>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1"/>
      <c r="Q344" s="2289"/>
      <c r="R344" s="1079"/>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1"/>
      <c r="Q345" s="2289"/>
      <c r="R345" s="1079"/>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1"/>
      <c r="Q346" s="2289"/>
      <c r="R346" s="1079"/>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1"/>
      <c r="Q347" s="2289"/>
      <c r="R347" s="1079"/>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1"/>
      <c r="Q348" s="2289"/>
      <c r="R348" s="1079"/>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1"/>
      <c r="Q349" s="2289"/>
      <c r="R349" s="1079"/>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1"/>
      <c r="Q350" s="2289"/>
      <c r="R350" s="1079"/>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1"/>
      <c r="Q351" s="2289"/>
      <c r="R351" s="1079"/>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1"/>
      <c r="Q352" s="2289"/>
      <c r="R352" s="1079"/>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1"/>
      <c r="Q353" s="2289"/>
      <c r="R353" s="1079"/>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1"/>
      <c r="Q354" s="2289"/>
      <c r="R354" s="1079"/>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1"/>
      <c r="Q355" s="2289"/>
      <c r="R355" s="1079"/>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1"/>
      <c r="Q356" s="2289"/>
      <c r="R356" s="1079"/>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1"/>
      <c r="Q357" s="2289"/>
      <c r="R357" s="1079"/>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291"/>
      <c r="Q358" s="2289"/>
      <c r="R358" s="1079"/>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1"/>
      <c r="Q359" s="2289"/>
      <c r="R359" s="1079"/>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1"/>
      <c r="Q360" s="2289"/>
      <c r="R360" s="1081"/>
      <c r="S360" s="2292"/>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1"/>
      <c r="Q361" s="2289"/>
      <c r="R361" s="1081"/>
      <c r="S361" s="2292"/>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1"/>
      <c r="Q362" s="2289"/>
      <c r="R362" s="1081"/>
      <c r="S362" s="2292"/>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1"/>
      <c r="Q363" s="1079"/>
      <c r="R363" s="1081"/>
      <c r="S363" s="2292"/>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291"/>
      <c r="Q364" s="1079"/>
      <c r="R364" s="1081"/>
      <c r="S364" s="2292"/>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1"/>
      <c r="Q365" s="1079"/>
      <c r="R365" s="1081"/>
      <c r="S365" s="2292"/>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1"/>
      <c r="Q366" s="1079"/>
      <c r="R366" s="1081"/>
      <c r="S366" s="2292"/>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1"/>
      <c r="Q367" s="1079"/>
      <c r="R367" s="1079"/>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1"/>
      <c r="Q368" s="1079"/>
      <c r="R368" s="1079"/>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1"/>
      <c r="Q369" s="1079"/>
      <c r="R369" s="1079"/>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1"/>
      <c r="Q370" s="1079"/>
      <c r="R370" s="1079"/>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291"/>
      <c r="Q371" s="1079"/>
      <c r="R371" s="1079"/>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1"/>
      <c r="Q372" s="1079"/>
      <c r="R372" s="1079"/>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1"/>
      <c r="Q373" s="1079"/>
      <c r="R373" s="1079"/>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1"/>
      <c r="Q374" s="1079"/>
      <c r="R374" s="1079"/>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1"/>
      <c r="Q375" s="1079"/>
      <c r="R375" s="1079"/>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1"/>
      <c r="Q376" s="1079"/>
      <c r="R376" s="1079"/>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1"/>
      <c r="Q377" s="1079"/>
      <c r="R377" s="1079"/>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0"/>
      <c r="Q378" s="1079"/>
      <c r="R378" s="1079"/>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291"/>
      <c r="Q379" s="1079"/>
      <c r="R379" s="1079"/>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291"/>
      <c r="Q380" s="1079"/>
      <c r="R380" s="1079"/>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0"/>
      <c r="Q381" s="1079"/>
      <c r="R381" s="1079"/>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0"/>
      <c r="Q382" s="1079"/>
      <c r="R382" s="1079"/>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0"/>
      <c r="Q383" s="1079"/>
      <c r="R383" s="1079"/>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0"/>
      <c r="Q384" s="1079"/>
      <c r="R384" s="1079"/>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0"/>
      <c r="Q385" s="1079"/>
      <c r="R385" s="1079"/>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0"/>
      <c r="Q386" s="1079"/>
      <c r="R386" s="1079"/>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0"/>
      <c r="Q387" s="1079"/>
      <c r="R387" s="1079"/>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0"/>
      <c r="Q388" s="1079"/>
      <c r="R388" s="1079"/>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79"/>
      <c r="C389" s="1079"/>
      <c r="D389" s="1079"/>
      <c r="E389" s="1079"/>
      <c r="F389" s="1079"/>
      <c r="G389" s="1079"/>
      <c r="H389" s="1079"/>
      <c r="I389" s="1079"/>
      <c r="J389" s="1079"/>
      <c r="K389" s="1079"/>
      <c r="L389" s="1079"/>
      <c r="M389" s="1079"/>
      <c r="N389" s="1079"/>
      <c r="O389" s="1079"/>
      <c r="P389" s="1080"/>
      <c r="Q389" s="1079"/>
      <c r="R389" s="1079"/>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79"/>
      <c r="C390" s="1079"/>
      <c r="D390" s="1079"/>
      <c r="E390" s="1079"/>
      <c r="F390" s="1079"/>
      <c r="G390" s="1079"/>
      <c r="H390" s="1079"/>
      <c r="I390" s="1079"/>
      <c r="J390" s="1079"/>
      <c r="K390" s="1079"/>
      <c r="L390" s="1079"/>
      <c r="M390" s="1079"/>
      <c r="N390" s="1079"/>
      <c r="O390" s="1079"/>
      <c r="P390" s="1080"/>
      <c r="Q390" s="1079"/>
      <c r="R390" s="1079"/>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79"/>
      <c r="C391" s="1079"/>
      <c r="D391" s="1079"/>
      <c r="E391" s="1079"/>
      <c r="F391" s="1079"/>
      <c r="G391" s="1079"/>
      <c r="H391" s="1079"/>
      <c r="I391" s="1079"/>
      <c r="J391" s="1079"/>
      <c r="K391" s="1079"/>
      <c r="L391" s="1079"/>
      <c r="M391" s="1079"/>
      <c r="N391" s="1079"/>
      <c r="O391" s="1079"/>
      <c r="P391" s="1080"/>
      <c r="Q391" s="1079"/>
      <c r="R391" s="1079"/>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79"/>
      <c r="C392" s="1079"/>
      <c r="D392" s="1079"/>
      <c r="E392" s="1079"/>
      <c r="F392" s="1079"/>
      <c r="G392" s="1079"/>
      <c r="H392" s="1079"/>
      <c r="I392" s="1079"/>
      <c r="J392" s="1079"/>
      <c r="K392" s="1079"/>
      <c r="L392" s="1079"/>
      <c r="M392" s="1079"/>
      <c r="N392" s="1079"/>
      <c r="O392" s="1079"/>
      <c r="P392" s="1080"/>
      <c r="Q392" s="1079"/>
      <c r="R392" s="1079"/>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79"/>
      <c r="C393" s="1079"/>
      <c r="D393" s="1079"/>
      <c r="E393" s="1079"/>
      <c r="F393" s="1079"/>
      <c r="G393" s="1079"/>
      <c r="H393" s="1079"/>
      <c r="I393" s="1079"/>
      <c r="J393" s="1079"/>
      <c r="K393" s="1079"/>
      <c r="L393" s="1079"/>
      <c r="M393" s="1079"/>
      <c r="N393" s="1079"/>
      <c r="O393" s="1079"/>
      <c r="P393" s="1080"/>
      <c r="Q393" s="1079"/>
      <c r="R393" s="1079"/>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79"/>
      <c r="C394" s="1079"/>
      <c r="D394" s="1079"/>
      <c r="E394" s="1079"/>
      <c r="F394" s="1079"/>
      <c r="G394" s="1079"/>
      <c r="H394" s="1079"/>
      <c r="I394" s="1079"/>
      <c r="J394" s="1079"/>
      <c r="K394" s="1079"/>
      <c r="L394" s="1079"/>
      <c r="M394" s="1079"/>
      <c r="N394" s="1079"/>
      <c r="O394" s="1079"/>
      <c r="P394" s="1080"/>
      <c r="Q394" s="1079"/>
      <c r="R394" s="1079"/>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79"/>
      <c r="C395" s="1079"/>
      <c r="D395" s="1079"/>
      <c r="E395" s="1079"/>
      <c r="F395" s="1079"/>
      <c r="G395" s="1079"/>
      <c r="H395" s="1079"/>
      <c r="I395" s="1079"/>
      <c r="J395" s="1079"/>
      <c r="K395" s="1079"/>
      <c r="L395" s="1079"/>
      <c r="M395" s="1079"/>
      <c r="N395" s="1079"/>
      <c r="O395" s="1079"/>
      <c r="P395" s="2291"/>
      <c r="Q395" s="1079"/>
      <c r="R395" s="1079"/>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79"/>
      <c r="C396" s="1079"/>
      <c r="D396" s="1079"/>
      <c r="E396" s="1079"/>
      <c r="F396" s="1079"/>
      <c r="G396" s="1079"/>
      <c r="H396" s="1079"/>
      <c r="I396" s="1079"/>
      <c r="J396" s="1079"/>
      <c r="K396" s="1079"/>
      <c r="L396" s="1079"/>
      <c r="M396" s="1079"/>
      <c r="N396" s="1079"/>
      <c r="O396" s="1079"/>
      <c r="P396" s="2291"/>
      <c r="Q396" s="1079"/>
      <c r="R396" s="1079"/>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79"/>
      <c r="C397" s="1079"/>
      <c r="D397" s="1079"/>
      <c r="E397" s="1079"/>
      <c r="F397" s="1079"/>
      <c r="G397" s="1079"/>
      <c r="H397" s="1079"/>
      <c r="I397" s="1079"/>
      <c r="J397" s="1079"/>
      <c r="K397" s="1079"/>
      <c r="L397" s="1079"/>
      <c r="M397" s="1079"/>
      <c r="N397" s="1079"/>
      <c r="O397" s="1079"/>
      <c r="P397" s="2291"/>
      <c r="Q397" s="1079"/>
      <c r="R397" s="1079"/>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79"/>
      <c r="C398" s="1079"/>
      <c r="D398" s="1079"/>
      <c r="E398" s="1079"/>
      <c r="F398" s="1079"/>
      <c r="G398" s="1079"/>
      <c r="H398" s="1079"/>
      <c r="I398" s="1079"/>
      <c r="J398" s="1079"/>
      <c r="K398" s="1079"/>
      <c r="L398" s="1079"/>
      <c r="M398" s="1079"/>
      <c r="N398" s="1079"/>
      <c r="O398" s="1079"/>
      <c r="P398" s="1080"/>
      <c r="Q398" s="1079"/>
      <c r="R398" s="1079"/>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79"/>
      <c r="C399" s="1079"/>
      <c r="D399" s="1079"/>
      <c r="E399" s="1079"/>
      <c r="F399" s="1079"/>
      <c r="G399" s="1079"/>
      <c r="H399" s="1079"/>
      <c r="I399" s="1079"/>
      <c r="J399" s="1079"/>
      <c r="K399" s="1079"/>
      <c r="L399" s="1079"/>
      <c r="M399" s="1079"/>
      <c r="N399" s="1079"/>
      <c r="O399" s="1079"/>
      <c r="P399" s="1080"/>
      <c r="Q399" s="1079"/>
      <c r="R399" s="1079"/>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79"/>
      <c r="C400" s="1079"/>
      <c r="D400" s="1079"/>
      <c r="E400" s="1079"/>
      <c r="F400" s="1079"/>
      <c r="G400" s="1079"/>
      <c r="H400" s="1079"/>
      <c r="I400" s="1079"/>
      <c r="J400" s="1079"/>
      <c r="K400" s="1079"/>
      <c r="L400" s="1079"/>
      <c r="M400" s="1079"/>
      <c r="N400" s="1079"/>
      <c r="O400" s="1079"/>
      <c r="P400" s="2291"/>
      <c r="Q400" s="1079"/>
      <c r="R400" s="1079"/>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79"/>
      <c r="C401" s="1079"/>
      <c r="D401" s="1079"/>
      <c r="E401" s="1079"/>
      <c r="F401" s="1079"/>
      <c r="G401" s="1079"/>
      <c r="H401" s="1079"/>
      <c r="I401" s="1079"/>
      <c r="J401" s="1079"/>
      <c r="K401" s="1079"/>
      <c r="L401" s="1079"/>
      <c r="M401" s="1079"/>
      <c r="N401" s="1079"/>
      <c r="O401" s="1079"/>
      <c r="P401" s="1080"/>
      <c r="Q401" s="1079"/>
      <c r="R401" s="1079"/>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79"/>
      <c r="C402" s="1079"/>
      <c r="D402" s="1079"/>
      <c r="E402" s="1079"/>
      <c r="F402" s="1079"/>
      <c r="G402" s="1079"/>
      <c r="H402" s="1079"/>
      <c r="I402" s="1079"/>
      <c r="J402" s="1079"/>
      <c r="K402" s="1079"/>
      <c r="L402" s="1079"/>
      <c r="M402" s="1079"/>
      <c r="N402" s="1079"/>
      <c r="O402" s="1079"/>
      <c r="P402" s="1080"/>
      <c r="Q402" s="1079"/>
      <c r="R402" s="1079"/>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79"/>
      <c r="C403" s="1079"/>
      <c r="D403" s="1079"/>
      <c r="E403" s="1079"/>
      <c r="F403" s="1079"/>
      <c r="G403" s="1079"/>
      <c r="H403" s="1079"/>
      <c r="I403" s="1079"/>
      <c r="J403" s="1079"/>
      <c r="K403" s="1079"/>
      <c r="L403" s="1079"/>
      <c r="M403" s="1079"/>
      <c r="N403" s="1079"/>
      <c r="O403" s="1079"/>
      <c r="P403" s="1080"/>
      <c r="Q403" s="1079"/>
      <c r="R403" s="1079"/>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79"/>
      <c r="C404" s="1079"/>
      <c r="D404" s="1079"/>
      <c r="E404" s="1079"/>
      <c r="F404" s="1079"/>
      <c r="G404" s="1079"/>
      <c r="H404" s="1079"/>
      <c r="I404" s="1079"/>
      <c r="J404" s="1079"/>
      <c r="K404" s="1079"/>
      <c r="L404" s="1079"/>
      <c r="M404" s="1079"/>
      <c r="N404" s="1079"/>
      <c r="O404" s="1079"/>
      <c r="P404" s="1080"/>
      <c r="Q404" s="1079"/>
      <c r="R404" s="1079"/>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79"/>
      <c r="C405" s="1079"/>
      <c r="D405" s="1079"/>
      <c r="E405" s="1079"/>
      <c r="F405" s="1079"/>
      <c r="G405" s="1079"/>
      <c r="H405" s="1079"/>
      <c r="I405" s="1079"/>
      <c r="J405" s="1079"/>
      <c r="K405" s="1079"/>
      <c r="L405" s="1079"/>
      <c r="M405" s="1079"/>
      <c r="N405" s="1079"/>
      <c r="O405" s="1079"/>
      <c r="P405" s="1080"/>
      <c r="Q405" s="1079"/>
      <c r="R405" s="1079"/>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79"/>
      <c r="C406" s="1079"/>
      <c r="D406" s="1079"/>
      <c r="E406" s="1079"/>
      <c r="F406" s="1079"/>
      <c r="G406" s="1079"/>
      <c r="H406" s="1079"/>
      <c r="I406" s="1079"/>
      <c r="J406" s="1079"/>
      <c r="K406" s="1079"/>
      <c r="L406" s="1079"/>
      <c r="M406" s="1079"/>
      <c r="N406" s="1079"/>
      <c r="O406" s="1079"/>
      <c r="P406" s="1080"/>
      <c r="Q406" s="1079"/>
      <c r="R406" s="1079"/>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79"/>
      <c r="C407" s="1079"/>
      <c r="D407" s="1079"/>
      <c r="E407" s="1079"/>
      <c r="F407" s="1079"/>
      <c r="G407" s="1079"/>
      <c r="H407" s="1079"/>
      <c r="I407" s="1079"/>
      <c r="J407" s="1079"/>
      <c r="K407" s="1079"/>
      <c r="L407" s="1079"/>
      <c r="M407" s="1079"/>
      <c r="N407" s="1079"/>
      <c r="O407" s="1079"/>
      <c r="P407" s="1080"/>
      <c r="Q407" s="1079"/>
      <c r="R407" s="1079"/>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79"/>
      <c r="C408" s="1079"/>
      <c r="D408" s="1079"/>
      <c r="E408" s="1079"/>
      <c r="F408" s="1079"/>
      <c r="G408" s="1079"/>
      <c r="H408" s="1079"/>
      <c r="I408" s="1079"/>
      <c r="J408" s="1079"/>
      <c r="K408" s="1079"/>
      <c r="L408" s="1079"/>
      <c r="M408" s="1079"/>
      <c r="N408" s="1079"/>
      <c r="O408" s="1079"/>
      <c r="P408" s="1080"/>
      <c r="Q408" s="1079"/>
      <c r="R408" s="1079"/>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79"/>
      <c r="C409" s="1079"/>
      <c r="D409" s="1079"/>
      <c r="E409" s="1079"/>
      <c r="F409" s="1079"/>
      <c r="G409" s="1079"/>
      <c r="H409" s="1079"/>
      <c r="I409" s="1079"/>
      <c r="J409" s="1079"/>
      <c r="K409" s="1079"/>
      <c r="L409" s="1079"/>
      <c r="M409" s="1079"/>
      <c r="N409" s="1079"/>
      <c r="O409" s="1079"/>
      <c r="P409" s="1080"/>
      <c r="Q409" s="1079"/>
      <c r="R409" s="1079"/>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79"/>
      <c r="C410" s="1079"/>
      <c r="D410" s="1079"/>
      <c r="E410" s="1079"/>
      <c r="F410" s="1079"/>
      <c r="G410" s="1079"/>
      <c r="H410" s="1079"/>
      <c r="I410" s="1079"/>
      <c r="J410" s="1079"/>
      <c r="K410" s="1079"/>
      <c r="L410" s="1079"/>
      <c r="M410" s="1079"/>
      <c r="N410" s="1079"/>
      <c r="O410" s="1079"/>
      <c r="P410" s="1080"/>
      <c r="Q410" s="1079"/>
      <c r="R410" s="1079"/>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79"/>
      <c r="C411" s="1079"/>
      <c r="D411" s="1079"/>
      <c r="E411" s="1079"/>
      <c r="F411" s="1079"/>
      <c r="G411" s="1079"/>
      <c r="H411" s="1079"/>
      <c r="I411" s="1079"/>
      <c r="J411" s="1079"/>
      <c r="K411" s="1079"/>
      <c r="L411" s="1079"/>
      <c r="M411" s="1079"/>
      <c r="N411" s="1079"/>
      <c r="O411" s="1079"/>
      <c r="P411" s="1080"/>
      <c r="Q411" s="1079"/>
      <c r="R411" s="1079"/>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79"/>
      <c r="C412" s="1079"/>
      <c r="D412" s="1079"/>
      <c r="E412" s="1079"/>
      <c r="F412" s="1079"/>
      <c r="G412" s="1079"/>
      <c r="H412" s="1079"/>
      <c r="I412" s="1079"/>
      <c r="J412" s="1079"/>
      <c r="K412" s="1079"/>
      <c r="L412" s="1079"/>
      <c r="M412" s="1079"/>
      <c r="N412" s="1079"/>
      <c r="O412" s="1079"/>
      <c r="P412" s="2291"/>
      <c r="Q412" s="1079"/>
      <c r="R412" s="1079"/>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79"/>
      <c r="C413" s="1079"/>
      <c r="D413" s="1079"/>
      <c r="E413" s="1079"/>
      <c r="F413" s="1079"/>
      <c r="G413" s="1079"/>
      <c r="H413" s="1079"/>
      <c r="I413" s="1079"/>
      <c r="J413" s="1079"/>
      <c r="K413" s="1079"/>
      <c r="L413" s="1079"/>
      <c r="M413" s="1079"/>
      <c r="N413" s="1079"/>
      <c r="O413" s="1079"/>
      <c r="P413" s="1080"/>
      <c r="Q413" s="1079"/>
      <c r="R413" s="1079"/>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79"/>
      <c r="C414" s="1079"/>
      <c r="D414" s="1079"/>
      <c r="E414" s="1079"/>
      <c r="F414" s="1079"/>
      <c r="G414" s="1079"/>
      <c r="H414" s="1079"/>
      <c r="I414" s="1079"/>
      <c r="J414" s="1079"/>
      <c r="K414" s="1079"/>
      <c r="L414" s="1079"/>
      <c r="M414" s="1079"/>
      <c r="N414" s="1079"/>
      <c r="O414" s="1079"/>
      <c r="P414" s="1080"/>
      <c r="Q414" s="1079"/>
      <c r="R414" s="1079"/>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79"/>
      <c r="C415" s="1079"/>
      <c r="D415" s="1079"/>
      <c r="E415" s="1079"/>
      <c r="F415" s="1079"/>
      <c r="G415" s="1079"/>
      <c r="H415" s="1079"/>
      <c r="I415" s="1079"/>
      <c r="J415" s="1079"/>
      <c r="K415" s="1079"/>
      <c r="L415" s="1079"/>
      <c r="M415" s="1079"/>
      <c r="N415" s="1079"/>
      <c r="O415" s="1079"/>
      <c r="P415" s="1080"/>
      <c r="Q415" s="1079"/>
      <c r="R415" s="1079"/>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79"/>
      <c r="C416" s="1079"/>
      <c r="D416" s="1079"/>
      <c r="E416" s="1079"/>
      <c r="F416" s="1079"/>
      <c r="G416" s="1079"/>
      <c r="H416" s="1079"/>
      <c r="I416" s="1079"/>
      <c r="J416" s="1079"/>
      <c r="K416" s="1079"/>
      <c r="L416" s="1079"/>
      <c r="M416" s="1079"/>
      <c r="N416" s="1079"/>
      <c r="O416" s="1079"/>
      <c r="P416" s="1080"/>
      <c r="Q416" s="1079"/>
      <c r="R416" s="1079"/>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79"/>
      <c r="C417" s="1079"/>
      <c r="D417" s="1079"/>
      <c r="E417" s="1079"/>
      <c r="F417" s="1079"/>
      <c r="G417" s="1079"/>
      <c r="H417" s="1079"/>
      <c r="I417" s="1079"/>
      <c r="J417" s="1079"/>
      <c r="K417" s="1079"/>
      <c r="L417" s="1079"/>
      <c r="M417" s="1079"/>
      <c r="N417" s="1079"/>
      <c r="O417" s="1079"/>
      <c r="P417" s="1080"/>
      <c r="Q417" s="1079"/>
      <c r="R417" s="1079"/>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79"/>
      <c r="C418" s="1079"/>
      <c r="D418" s="1079"/>
      <c r="E418" s="1079"/>
      <c r="F418" s="1079"/>
      <c r="G418" s="1079"/>
      <c r="H418" s="1079"/>
      <c r="I418" s="1079"/>
      <c r="J418" s="1079"/>
      <c r="K418" s="1079"/>
      <c r="L418" s="1079"/>
      <c r="M418" s="1079"/>
      <c r="N418" s="1079"/>
      <c r="O418" s="1079"/>
      <c r="P418" s="1080"/>
      <c r="Q418" s="1079"/>
      <c r="R418" s="1079"/>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293"/>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294"/>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294"/>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294"/>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294"/>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294"/>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294"/>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294"/>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294"/>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294"/>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294"/>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294"/>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293"/>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293"/>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294"/>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294"/>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293"/>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294"/>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294"/>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294"/>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293"/>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294"/>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294"/>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294"/>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293"/>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294"/>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292" t="s">
        <v>92</v>
      </c>
      <c r="S620" s="2292" t="s">
        <v>94</v>
      </c>
      <c r="T620" s="2292" t="s">
        <v>93</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292" t="s">
        <v>2528</v>
      </c>
      <c r="S621" s="2292" t="s">
        <v>617</v>
      </c>
      <c r="T621" s="2295" t="s">
        <v>2114</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294"/>
      <c r="R622" s="2292" t="s">
        <v>2529</v>
      </c>
      <c r="S622" s="2292" t="s">
        <v>316</v>
      </c>
      <c r="T622" s="2295" t="s">
        <v>2114</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292" t="s">
        <v>2530</v>
      </c>
      <c r="S623" s="2292" t="s">
        <v>2451</v>
      </c>
      <c r="T623" s="2295" t="s">
        <v>2114</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292" t="s">
        <v>2531</v>
      </c>
      <c r="S624" s="2292"/>
      <c r="T624" s="2295" t="s">
        <v>2114</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292" t="s">
        <v>2532</v>
      </c>
      <c r="S625" s="2292" t="s">
        <v>1981</v>
      </c>
      <c r="T625" s="2295" t="s">
        <v>2114</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292" t="s">
        <v>2533</v>
      </c>
      <c r="S626" s="2292" t="s">
        <v>2451</v>
      </c>
      <c r="T626" s="2295" t="s">
        <v>2114</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292" t="s">
        <v>2534</v>
      </c>
      <c r="S627" s="2292" t="s">
        <v>1312</v>
      </c>
      <c r="T627" s="2295" t="s">
        <v>2114</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292" t="s">
        <v>2535</v>
      </c>
      <c r="S628" s="2292" t="s">
        <v>1983</v>
      </c>
      <c r="T628" s="2295" t="s">
        <v>2114</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292" t="s">
        <v>2536</v>
      </c>
      <c r="S629" s="2292" t="s">
        <v>655</v>
      </c>
      <c r="T629" s="2295" t="s">
        <v>2114</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292" t="s">
        <v>2537</v>
      </c>
      <c r="S630" s="2292" t="s">
        <v>617</v>
      </c>
      <c r="T630" s="2295" t="s">
        <v>2114</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292" t="s">
        <v>2538</v>
      </c>
      <c r="S631" s="2292" t="s">
        <v>2145</v>
      </c>
      <c r="T631" s="2295" t="s">
        <v>2114</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292" t="s">
        <v>2539</v>
      </c>
      <c r="S632" s="2292" t="s">
        <v>2498</v>
      </c>
      <c r="T632" s="2295" t="s">
        <v>2114</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292" t="s">
        <v>2216</v>
      </c>
      <c r="S633" s="2292" t="s">
        <v>2495</v>
      </c>
      <c r="T633" s="2295" t="s">
        <v>2114</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292" t="s">
        <v>2540</v>
      </c>
      <c r="S634" s="2292" t="s">
        <v>2145</v>
      </c>
      <c r="T634" s="2295" t="s">
        <v>2114</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292" t="s">
        <v>2541</v>
      </c>
      <c r="S635" s="2292" t="s">
        <v>2454</v>
      </c>
      <c r="T635" s="2295" t="s">
        <v>2114</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293"/>
      <c r="R636" s="2292" t="s">
        <v>2542</v>
      </c>
      <c r="S636" s="2292" t="s">
        <v>1981</v>
      </c>
      <c r="T636" s="2295" t="s">
        <v>2114</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292" t="s">
        <v>1032</v>
      </c>
      <c r="S637" s="2292" t="s">
        <v>1440</v>
      </c>
      <c r="T637" s="2295" t="s">
        <v>2114</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294"/>
      <c r="R638" s="2292" t="s">
        <v>891</v>
      </c>
      <c r="S638" s="2292" t="s">
        <v>1090</v>
      </c>
      <c r="T638" s="2295" t="s">
        <v>2114</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292" t="s">
        <v>1033</v>
      </c>
      <c r="S639" s="2292" t="s">
        <v>617</v>
      </c>
      <c r="T639" s="2295" t="s">
        <v>2114</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292" t="s">
        <v>1034</v>
      </c>
      <c r="S640" s="2292" t="s">
        <v>1885</v>
      </c>
      <c r="T640" s="2295" t="s">
        <v>2114</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294"/>
      <c r="R641" s="2292" t="s">
        <v>1035</v>
      </c>
      <c r="S641" s="2292" t="s">
        <v>1979</v>
      </c>
      <c r="T641" s="2295" t="s">
        <v>2114</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292" t="s">
        <v>1036</v>
      </c>
      <c r="S642" s="2292" t="s">
        <v>1083</v>
      </c>
      <c r="T642" s="2295" t="s">
        <v>2114</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296"/>
      <c r="R643" s="2292" t="s">
        <v>1037</v>
      </c>
      <c r="S643" s="2292" t="s">
        <v>1502</v>
      </c>
      <c r="T643" s="2295" t="s">
        <v>2114</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292" t="s">
        <v>1038</v>
      </c>
      <c r="S644" s="2292" t="s">
        <v>2451</v>
      </c>
      <c r="T644" s="2295" t="s">
        <v>2114</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294"/>
      <c r="R645" s="2292" t="s">
        <v>1039</v>
      </c>
      <c r="S645" s="2292" t="s">
        <v>157</v>
      </c>
      <c r="T645" s="2295" t="s">
        <v>2114</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294"/>
      <c r="R646" s="2292" t="s">
        <v>1040</v>
      </c>
      <c r="S646" s="2292" t="s">
        <v>1319</v>
      </c>
      <c r="T646" s="2295" t="s">
        <v>2114</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292" t="s">
        <v>1041</v>
      </c>
      <c r="S647" s="2292" t="s">
        <v>1502</v>
      </c>
      <c r="T647" s="2295" t="s">
        <v>2114</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292" t="s">
        <v>1042</v>
      </c>
      <c r="S648" s="2292" t="s">
        <v>1097</v>
      </c>
      <c r="T648" s="2295" t="s">
        <v>2114</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292" t="s">
        <v>1043</v>
      </c>
      <c r="S649" s="2292" t="s">
        <v>1979</v>
      </c>
      <c r="T649" s="2295" t="s">
        <v>2114</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816</v>
      </c>
      <c r="S650" s="486" t="s">
        <v>860</v>
      </c>
      <c r="T650" s="2295" t="s">
        <v>2114</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292" t="s">
        <v>1044</v>
      </c>
      <c r="S651" s="2292" t="s">
        <v>2454</v>
      </c>
      <c r="T651" s="2295" t="s">
        <v>2114</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292" t="s">
        <v>1588</v>
      </c>
      <c r="S652" s="2292" t="s">
        <v>2495</v>
      </c>
      <c r="T652" s="2295" t="s">
        <v>2114</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292" t="s">
        <v>1045</v>
      </c>
      <c r="S653" s="2292"/>
      <c r="T653" s="2295" t="s">
        <v>2114</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292" t="s">
        <v>182</v>
      </c>
      <c r="S654" s="2292" t="s">
        <v>157</v>
      </c>
      <c r="T654" s="2295" t="s">
        <v>2114</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292" t="s">
        <v>1046</v>
      </c>
      <c r="S655" s="2292" t="s">
        <v>173</v>
      </c>
      <c r="T655" s="2295" t="s">
        <v>2114</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292" t="s">
        <v>2256</v>
      </c>
      <c r="S656" s="2292" t="s">
        <v>1191</v>
      </c>
      <c r="T656" s="2295" t="s">
        <v>2114</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292" t="s">
        <v>1047</v>
      </c>
      <c r="S657" s="2292" t="s">
        <v>617</v>
      </c>
      <c r="T657" s="2295" t="s">
        <v>2114</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292" t="s">
        <v>1048</v>
      </c>
      <c r="S658" s="2292" t="s">
        <v>617</v>
      </c>
      <c r="T658" s="2295" t="s">
        <v>2114</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292" t="s">
        <v>1049</v>
      </c>
      <c r="S659" s="2292" t="s">
        <v>617</v>
      </c>
      <c r="T659" s="2295" t="s">
        <v>2114</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292" t="s">
        <v>1050</v>
      </c>
      <c r="S660" s="2292" t="s">
        <v>617</v>
      </c>
      <c r="T660" s="2295" t="s">
        <v>2114</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292" t="s">
        <v>1051</v>
      </c>
      <c r="S661" s="2292" t="s">
        <v>1649</v>
      </c>
      <c r="T661" s="2295" t="s">
        <v>2114</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292" t="s">
        <v>1052</v>
      </c>
      <c r="S662" s="2292" t="s">
        <v>942</v>
      </c>
      <c r="T662" s="2295" t="s">
        <v>2114</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292" t="s">
        <v>1053</v>
      </c>
      <c r="S663" s="2292" t="s">
        <v>120</v>
      </c>
      <c r="T663" s="2295" t="s">
        <v>2114</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294"/>
      <c r="R664" s="2292" t="s">
        <v>1054</v>
      </c>
      <c r="S664" s="2292" t="s">
        <v>617</v>
      </c>
      <c r="T664" s="2295" t="s">
        <v>2114</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292" t="s">
        <v>1055</v>
      </c>
      <c r="S665" s="2292" t="s">
        <v>313</v>
      </c>
      <c r="T665" s="2295" t="s">
        <v>2114</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292" t="s">
        <v>1056</v>
      </c>
      <c r="S666" s="2292" t="s">
        <v>317</v>
      </c>
      <c r="T666" s="2295" t="s">
        <v>2114</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292" t="s">
        <v>820</v>
      </c>
      <c r="S667" s="2292" t="s">
        <v>1298</v>
      </c>
      <c r="T667" s="2295" t="s">
        <v>2114</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292" t="s">
        <v>1057</v>
      </c>
      <c r="S668" s="2292" t="s">
        <v>655</v>
      </c>
      <c r="T668" s="2295" t="s">
        <v>2114</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292" t="s">
        <v>1058</v>
      </c>
      <c r="S669" s="2292" t="s">
        <v>1502</v>
      </c>
      <c r="T669" s="2295" t="s">
        <v>2114</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292" t="s">
        <v>1059</v>
      </c>
      <c r="S670" s="2292" t="s">
        <v>617</v>
      </c>
      <c r="T670" s="2295" t="s">
        <v>2114</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292" t="s">
        <v>1060</v>
      </c>
      <c r="S671" s="2292" t="s">
        <v>647</v>
      </c>
      <c r="T671" s="2295" t="s">
        <v>2114</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292" t="s">
        <v>1061</v>
      </c>
      <c r="S672" s="2292" t="s">
        <v>157</v>
      </c>
      <c r="T672" s="2295" t="s">
        <v>2114</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293"/>
      <c r="R673" s="2292" t="s">
        <v>1062</v>
      </c>
      <c r="S673" s="2292" t="s">
        <v>1885</v>
      </c>
      <c r="T673" s="2295" t="s">
        <v>2114</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294"/>
      <c r="R674" s="2292" t="s">
        <v>1063</v>
      </c>
      <c r="S674" s="2292" t="s">
        <v>1979</v>
      </c>
      <c r="T674" s="2295" t="s">
        <v>2114</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292" t="s">
        <v>1064</v>
      </c>
      <c r="S675" s="2292" t="s">
        <v>617</v>
      </c>
      <c r="T675" s="2295" t="s">
        <v>2114</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292" t="s">
        <v>1065</v>
      </c>
      <c r="S676" s="2292" t="s">
        <v>1649</v>
      </c>
      <c r="T676" s="2295" t="s">
        <v>2114</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294"/>
      <c r="R677" s="2292" t="s">
        <v>1066</v>
      </c>
      <c r="S677" s="2292" t="s">
        <v>2454</v>
      </c>
      <c r="T677" s="2295" t="s">
        <v>2114</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292" t="s">
        <v>1067</v>
      </c>
      <c r="S678" s="2292" t="s">
        <v>157</v>
      </c>
      <c r="T678" s="2295" t="s">
        <v>2114</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292" t="s">
        <v>1068</v>
      </c>
      <c r="S679" s="2292" t="s">
        <v>157</v>
      </c>
      <c r="T679" s="2295" t="s">
        <v>2114</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294"/>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294"/>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294"/>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294"/>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294"/>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294"/>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296"/>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293"/>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294"/>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294"/>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293"/>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294"/>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293"/>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294"/>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294"/>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B3oREk/XKv3+capGipILop+T3Vc5cVyySg6sTMD+zA5VqdUWQMSvdWyks99CfFevp9lGhLE03YcyZ1PqeHvKCA==" saltValue="jpdFn1Gc1zVOE+StQH8KqA=="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topLeftCell="A2" zoomScale="190" zoomScaleNormal="190" workbookViewId="0">
      <selection activeCell="L8" sqref="L8"/>
    </sheetView>
  </sheetViews>
  <sheetFormatPr defaultColWidth="9.109375" defaultRowHeight="13.8"/>
  <cols>
    <col min="1" max="1" width="2.88671875" style="312" customWidth="1"/>
    <col min="2" max="4" width="1.88671875" style="312" customWidth="1"/>
    <col min="5" max="5" width="14.88671875" style="312" customWidth="1"/>
    <col min="6" max="6" width="6.109375" style="312" customWidth="1"/>
    <col min="7" max="7" width="2.88671875" style="312" customWidth="1"/>
    <col min="8" max="8" width="8" style="312" customWidth="1"/>
    <col min="9" max="9" width="6.109375" style="312" customWidth="1"/>
    <col min="10" max="10" width="8.109375" style="312" customWidth="1"/>
    <col min="11" max="11" width="9.88671875" style="312" customWidth="1"/>
    <col min="12" max="13" width="8.88671875" style="312" customWidth="1"/>
    <col min="14" max="14" width="9.44140625" style="312" customWidth="1"/>
    <col min="15" max="15" width="9.88671875" style="312" customWidth="1"/>
    <col min="16" max="19" width="6.109375" style="312" customWidth="1"/>
    <col min="20" max="24" width="11.5546875" style="312" customWidth="1"/>
    <col min="25" max="16384" width="9.109375" style="312"/>
  </cols>
  <sheetData>
    <row r="1" spans="1:27" s="294" customFormat="1" ht="14.1" customHeight="1">
      <c r="A1" s="2804" t="str">
        <f>CONCATENATE("PART TWO - DEVELOPMENT TEAM INFORMATION","  -  ",'Part I-Project Information'!$O$6," ",'Part I-Project Information'!$F$34,", ",'Part I-Project Information'!F38,", ",'Part I-Project Information'!J39," County")</f>
        <v>PART TWO - DEVELOPMENT TEAM INFORMATION  -  2019-063 Haven at South Atlanta, Atlanta, Fulton County</v>
      </c>
      <c r="B1" s="2805"/>
      <c r="C1" s="2805"/>
      <c r="D1" s="2805"/>
      <c r="E1" s="2805"/>
      <c r="F1" s="2805"/>
      <c r="G1" s="2805"/>
      <c r="H1" s="2805"/>
      <c r="I1" s="2805"/>
      <c r="J1" s="2805"/>
      <c r="K1" s="2805"/>
      <c r="L1" s="2805"/>
      <c r="M1" s="2805"/>
      <c r="N1" s="2805"/>
      <c r="O1" s="2805"/>
      <c r="P1" s="2805"/>
      <c r="Q1" s="2805"/>
      <c r="R1" s="2805"/>
      <c r="S1" s="2806"/>
    </row>
    <row r="2" spans="1:27" ht="12" customHeight="1" thickBot="1">
      <c r="A2" s="954" t="s">
        <v>4248</v>
      </c>
      <c r="B2" s="955"/>
      <c r="C2" s="955"/>
      <c r="D2" s="955"/>
      <c r="E2" s="955"/>
      <c r="F2" s="955"/>
      <c r="G2" s="955"/>
      <c r="H2" s="955"/>
      <c r="I2" s="955"/>
      <c r="J2" s="955"/>
      <c r="K2" s="955"/>
      <c r="L2" s="955"/>
      <c r="M2" s="955"/>
      <c r="N2" s="955"/>
      <c r="O2" s="955"/>
      <c r="P2" s="955"/>
      <c r="Q2" s="955"/>
      <c r="R2" s="955"/>
      <c r="S2" s="955"/>
    </row>
    <row r="3" spans="1:27" s="294" customFormat="1" ht="13.35" customHeight="1" thickBot="1">
      <c r="A3" s="296" t="s">
        <v>605</v>
      </c>
      <c r="B3" s="299" t="s">
        <v>1833</v>
      </c>
      <c r="C3" s="299"/>
      <c r="E3" s="299"/>
      <c r="F3" s="299"/>
      <c r="G3" s="299"/>
      <c r="H3" s="1274" t="s">
        <v>4046</v>
      </c>
      <c r="O3" s="2807" t="str">
        <f>'Part I-Project Information'!$B$6</f>
        <v>May 2019</v>
      </c>
      <c r="P3" s="2808"/>
      <c r="Q3" s="2808"/>
      <c r="R3" s="2808"/>
      <c r="S3" s="2809"/>
    </row>
    <row r="4" spans="1:27" s="294" customFormat="1" ht="8.4" customHeight="1">
      <c r="A4" s="296"/>
      <c r="B4" s="296"/>
      <c r="C4" s="296"/>
      <c r="D4" s="299"/>
      <c r="E4" s="299"/>
      <c r="F4" s="299"/>
      <c r="G4" s="299"/>
      <c r="H4" s="299"/>
      <c r="I4" s="299"/>
      <c r="J4" s="299"/>
    </row>
    <row r="5" spans="1:27" s="294" customFormat="1" ht="11.25" customHeight="1">
      <c r="B5" s="296" t="s">
        <v>1957</v>
      </c>
      <c r="C5" s="299" t="s">
        <v>1829</v>
      </c>
      <c r="H5" s="2790" t="s">
        <v>4819</v>
      </c>
      <c r="I5" s="2793"/>
      <c r="J5" s="2793"/>
      <c r="K5" s="2793"/>
      <c r="L5" s="2793"/>
      <c r="M5" s="2793"/>
      <c r="N5" s="2794"/>
      <c r="O5" s="1721" t="s">
        <v>1963</v>
      </c>
      <c r="P5" s="1721"/>
      <c r="Q5" s="2790" t="s">
        <v>4820</v>
      </c>
      <c r="R5" s="2793"/>
      <c r="S5" s="2794"/>
      <c r="Y5" s="1062"/>
      <c r="Z5" s="1063"/>
      <c r="AA5" s="1726"/>
    </row>
    <row r="6" spans="1:27" s="294" customFormat="1" ht="11.25" customHeight="1">
      <c r="D6" s="333"/>
      <c r="E6" s="1718" t="s">
        <v>1008</v>
      </c>
      <c r="F6" s="306"/>
      <c r="H6" s="2627" t="s">
        <v>4822</v>
      </c>
      <c r="I6" s="2699"/>
      <c r="J6" s="2699"/>
      <c r="K6" s="2700"/>
      <c r="L6" s="2699"/>
      <c r="M6" s="2699"/>
      <c r="N6" s="2701"/>
      <c r="O6" s="1721" t="s">
        <v>1726</v>
      </c>
      <c r="Q6" s="2553" t="s">
        <v>4821</v>
      </c>
      <c r="R6" s="2613"/>
      <c r="S6" s="2614"/>
      <c r="V6" s="1062"/>
      <c r="W6" s="1062"/>
      <c r="X6" s="1062"/>
      <c r="Y6" s="1062"/>
      <c r="Z6" s="1063"/>
      <c r="AA6" s="1726"/>
    </row>
    <row r="7" spans="1:27" s="294" customFormat="1" ht="11.25" customHeight="1">
      <c r="D7" s="333"/>
      <c r="E7" s="1718" t="s">
        <v>607</v>
      </c>
      <c r="H7" s="2627" t="s">
        <v>1226</v>
      </c>
      <c r="I7" s="2700"/>
      <c r="J7" s="2633"/>
      <c r="K7" s="2297" t="s">
        <v>751</v>
      </c>
      <c r="L7" s="2595"/>
      <c r="M7" s="2699"/>
      <c r="N7" s="2701"/>
      <c r="O7" s="1721" t="s">
        <v>1700</v>
      </c>
      <c r="Q7" s="2550">
        <v>2673868668</v>
      </c>
      <c r="R7" s="2551"/>
      <c r="S7" s="2552"/>
    </row>
    <row r="8" spans="1:27" s="294" customFormat="1" ht="11.25" customHeight="1">
      <c r="D8" s="333"/>
      <c r="E8" s="1718" t="s">
        <v>1776</v>
      </c>
      <c r="H8" s="2272" t="s">
        <v>1339</v>
      </c>
      <c r="I8" s="1053" t="s">
        <v>2201</v>
      </c>
      <c r="J8" s="2810">
        <v>187043535</v>
      </c>
      <c r="K8" s="2811"/>
      <c r="L8" s="294" t="s">
        <v>3586</v>
      </c>
      <c r="M8" s="2812" t="s">
        <v>4823</v>
      </c>
      <c r="N8" s="2813"/>
      <c r="O8" s="1721" t="s">
        <v>1953</v>
      </c>
      <c r="Q8" s="2550"/>
      <c r="R8" s="2551"/>
      <c r="S8" s="2552"/>
    </row>
    <row r="9" spans="1:27" s="294" customFormat="1" ht="11.25" customHeight="1">
      <c r="D9" s="333"/>
      <c r="E9" s="1718" t="s">
        <v>4047</v>
      </c>
      <c r="H9" s="2788">
        <v>2673868600</v>
      </c>
      <c r="I9" s="2814"/>
      <c r="J9" s="2298"/>
      <c r="K9" s="1729" t="s">
        <v>1958</v>
      </c>
      <c r="L9" s="2625" t="s">
        <v>4824</v>
      </c>
      <c r="M9" s="2548"/>
      <c r="N9" s="2548"/>
      <c r="O9" s="2642"/>
      <c r="P9" s="2642"/>
      <c r="Q9" s="2548"/>
      <c r="R9" s="2548"/>
      <c r="S9" s="2549"/>
    </row>
    <row r="10" spans="1:27" s="294" customFormat="1" ht="11.25" customHeight="1">
      <c r="D10" s="333"/>
      <c r="E10" s="1274" t="s">
        <v>4046</v>
      </c>
      <c r="H10" s="328"/>
      <c r="K10" s="269"/>
      <c r="N10" s="365" t="s">
        <v>3495</v>
      </c>
      <c r="Q10" s="1729"/>
    </row>
    <row r="11" spans="1:27" s="294" customFormat="1" ht="4.3499999999999996" customHeight="1">
      <c r="D11" s="334"/>
      <c r="E11" s="1718"/>
      <c r="F11" s="299"/>
      <c r="G11" s="299"/>
      <c r="H11" s="299"/>
      <c r="I11" s="299"/>
      <c r="J11" s="299"/>
      <c r="N11" s="299"/>
      <c r="O11" s="299"/>
      <c r="P11" s="299"/>
      <c r="Q11" s="299"/>
      <c r="R11" s="299"/>
      <c r="S11" s="299"/>
      <c r="T11" s="299"/>
    </row>
    <row r="12" spans="1:27" s="294" customFormat="1" ht="11.25" customHeight="1">
      <c r="B12" s="332" t="s">
        <v>1959</v>
      </c>
      <c r="C12" s="299" t="s">
        <v>1830</v>
      </c>
      <c r="F12" s="299"/>
      <c r="G12" s="299"/>
      <c r="H12" s="299"/>
      <c r="I12" s="299"/>
      <c r="N12" s="2299" t="s">
        <v>1269</v>
      </c>
      <c r="W12" s="2299"/>
      <c r="X12" s="2299"/>
      <c r="Y12" s="2299"/>
      <c r="Z12" s="2299"/>
    </row>
    <row r="13" spans="1:27" s="294" customFormat="1" ht="11.25" customHeight="1">
      <c r="C13" s="335" t="s">
        <v>1960</v>
      </c>
      <c r="D13" s="332" t="s">
        <v>1961</v>
      </c>
      <c r="H13" s="1726"/>
      <c r="I13" s="1726"/>
      <c r="J13" s="1726"/>
      <c r="N13" s="1066"/>
      <c r="W13" s="2300"/>
      <c r="X13" s="2300"/>
      <c r="Y13" s="2300"/>
      <c r="Z13" s="2300"/>
    </row>
    <row r="14" spans="1:27" s="294" customFormat="1" ht="11.25" customHeight="1">
      <c r="D14" s="296" t="s">
        <v>2089</v>
      </c>
      <c r="E14" s="294" t="s">
        <v>1831</v>
      </c>
      <c r="H14" s="2790" t="s">
        <v>4825</v>
      </c>
      <c r="I14" s="2793"/>
      <c r="J14" s="2793"/>
      <c r="K14" s="2793"/>
      <c r="L14" s="2793"/>
      <c r="M14" s="2793"/>
      <c r="N14" s="2794"/>
      <c r="O14" s="1721" t="s">
        <v>1963</v>
      </c>
      <c r="P14" s="1721"/>
      <c r="Q14" s="2790" t="s">
        <v>4820</v>
      </c>
      <c r="R14" s="2793"/>
      <c r="S14" s="2794"/>
    </row>
    <row r="15" spans="1:27" s="294" customFormat="1" ht="11.25" customHeight="1">
      <c r="D15" s="333"/>
      <c r="E15" s="1718" t="s">
        <v>1008</v>
      </c>
      <c r="F15" s="306"/>
      <c r="H15" s="2627" t="s">
        <v>4822</v>
      </c>
      <c r="I15" s="2699"/>
      <c r="J15" s="2699"/>
      <c r="K15" s="2700"/>
      <c r="L15" s="2699"/>
      <c r="M15" s="2699"/>
      <c r="N15" s="2701"/>
      <c r="O15" s="1721" t="s">
        <v>1726</v>
      </c>
      <c r="Q15" s="2553" t="s">
        <v>4821</v>
      </c>
      <c r="R15" s="2613"/>
      <c r="S15" s="2614"/>
    </row>
    <row r="16" spans="1:27" s="294" customFormat="1" ht="11.25" customHeight="1">
      <c r="D16" s="333"/>
      <c r="E16" s="1718" t="s">
        <v>607</v>
      </c>
      <c r="H16" s="2627" t="s">
        <v>4828</v>
      </c>
      <c r="I16" s="2700"/>
      <c r="J16" s="2633"/>
      <c r="K16" s="1733" t="s">
        <v>2666</v>
      </c>
      <c r="L16" s="2627" t="s">
        <v>4826</v>
      </c>
      <c r="M16" s="2699"/>
      <c r="N16" s="2633"/>
      <c r="O16" s="1721" t="s">
        <v>1700</v>
      </c>
      <c r="Q16" s="2550">
        <v>2673868668</v>
      </c>
      <c r="R16" s="2551"/>
      <c r="S16" s="2552"/>
    </row>
    <row r="17" spans="3:19" s="294" customFormat="1" ht="11.25" customHeight="1">
      <c r="D17" s="296"/>
      <c r="E17" s="1718" t="s">
        <v>1776</v>
      </c>
      <c r="H17" s="2272" t="s">
        <v>1339</v>
      </c>
      <c r="K17" s="1053" t="s">
        <v>2201</v>
      </c>
      <c r="L17" s="2677">
        <v>187043535</v>
      </c>
      <c r="M17" s="2802"/>
      <c r="O17" s="1721" t="s">
        <v>1953</v>
      </c>
      <c r="Q17" s="2550"/>
      <c r="R17" s="2551"/>
      <c r="S17" s="2552"/>
    </row>
    <row r="18" spans="3:19" s="294" customFormat="1" ht="11.25" customHeight="1">
      <c r="D18" s="333"/>
      <c r="E18" s="1718" t="s">
        <v>4047</v>
      </c>
      <c r="H18" s="2788">
        <v>2673868600</v>
      </c>
      <c r="I18" s="2789"/>
      <c r="J18" s="2301"/>
      <c r="K18" s="1729" t="s">
        <v>1958</v>
      </c>
      <c r="L18" s="2547" t="s">
        <v>4827</v>
      </c>
      <c r="M18" s="2548"/>
      <c r="N18" s="2642"/>
      <c r="O18" s="2642"/>
      <c r="P18" s="2642"/>
      <c r="Q18" s="2548"/>
      <c r="R18" s="2548"/>
      <c r="S18" s="2549"/>
    </row>
    <row r="19" spans="3:19" ht="4.3499999999999996" customHeight="1">
      <c r="D19" s="321"/>
      <c r="H19" s="2302"/>
      <c r="I19" s="2302"/>
      <c r="J19" s="2302"/>
      <c r="K19" s="1729"/>
      <c r="L19" s="2302"/>
      <c r="M19" s="2302"/>
      <c r="N19" s="1723"/>
      <c r="O19" s="1711"/>
      <c r="P19" s="1711"/>
      <c r="Q19" s="1729"/>
      <c r="R19" s="1711"/>
      <c r="S19" s="1711"/>
    </row>
    <row r="20" spans="3:19" s="294" customFormat="1" ht="11.25" customHeight="1">
      <c r="D20" s="296" t="s">
        <v>2090</v>
      </c>
      <c r="E20" s="294" t="s">
        <v>1832</v>
      </c>
      <c r="F20" s="1726"/>
      <c r="H20" s="2790"/>
      <c r="I20" s="2793"/>
      <c r="J20" s="2793"/>
      <c r="K20" s="2793"/>
      <c r="L20" s="2793"/>
      <c r="M20" s="2793"/>
      <c r="N20" s="2794"/>
      <c r="O20" s="1721" t="s">
        <v>1963</v>
      </c>
      <c r="P20" s="1721"/>
      <c r="Q20" s="2790"/>
      <c r="R20" s="2793"/>
      <c r="S20" s="2794"/>
    </row>
    <row r="21" spans="3:19" s="294" customFormat="1" ht="11.25" customHeight="1">
      <c r="D21" s="333"/>
      <c r="E21" s="1718" t="s">
        <v>1008</v>
      </c>
      <c r="F21" s="306"/>
      <c r="H21" s="2627"/>
      <c r="I21" s="2699"/>
      <c r="J21" s="2699"/>
      <c r="K21" s="2700"/>
      <c r="L21" s="2699"/>
      <c r="M21" s="2699"/>
      <c r="N21" s="2701"/>
      <c r="O21" s="1721" t="s">
        <v>1726</v>
      </c>
      <c r="Q21" s="2553"/>
      <c r="R21" s="2613"/>
      <c r="S21" s="2614"/>
    </row>
    <row r="22" spans="3:19" s="294" customFormat="1" ht="11.25" customHeight="1">
      <c r="D22" s="333"/>
      <c r="E22" s="1718" t="s">
        <v>607</v>
      </c>
      <c r="H22" s="2627"/>
      <c r="I22" s="2700"/>
      <c r="J22" s="2633"/>
      <c r="K22" s="1733" t="s">
        <v>2666</v>
      </c>
      <c r="L22" s="2627"/>
      <c r="M22" s="2699"/>
      <c r="N22" s="2633"/>
      <c r="O22" s="1721" t="s">
        <v>1700</v>
      </c>
      <c r="Q22" s="2550"/>
      <c r="R22" s="2551"/>
      <c r="S22" s="2552"/>
    </row>
    <row r="23" spans="3:19" s="294" customFormat="1" ht="11.25" customHeight="1">
      <c r="E23" s="1718" t="s">
        <v>1776</v>
      </c>
      <c r="H23" s="2272"/>
      <c r="K23" s="1053" t="s">
        <v>2201</v>
      </c>
      <c r="L23" s="2677"/>
      <c r="M23" s="2802"/>
      <c r="O23" s="1721" t="s">
        <v>1953</v>
      </c>
      <c r="Q23" s="2550"/>
      <c r="R23" s="2551"/>
      <c r="S23" s="2552"/>
    </row>
    <row r="24" spans="3:19" s="294" customFormat="1" ht="11.25" customHeight="1">
      <c r="D24" s="333"/>
      <c r="E24" s="1718" t="s">
        <v>4047</v>
      </c>
      <c r="H24" s="2788"/>
      <c r="I24" s="2789"/>
      <c r="J24" s="2301"/>
      <c r="K24" s="1729" t="s">
        <v>1958</v>
      </c>
      <c r="L24" s="2547"/>
      <c r="M24" s="2548"/>
      <c r="N24" s="2642"/>
      <c r="O24" s="2642"/>
      <c r="P24" s="2642"/>
      <c r="Q24" s="2548"/>
      <c r="R24" s="2548"/>
      <c r="S24" s="2549"/>
    </row>
    <row r="25" spans="3:19" s="294" customFormat="1" ht="4.3499999999999996" customHeight="1">
      <c r="D25" s="333"/>
      <c r="E25" s="1726"/>
      <c r="F25" s="1726"/>
      <c r="G25" s="1721"/>
      <c r="H25" s="2302"/>
      <c r="I25" s="2302"/>
      <c r="J25" s="2302"/>
      <c r="K25" s="1729"/>
      <c r="L25" s="2302"/>
      <c r="M25" s="2302"/>
      <c r="N25" s="1723"/>
      <c r="O25" s="1711"/>
      <c r="P25" s="1711"/>
      <c r="Q25" s="1729"/>
      <c r="R25" s="1711"/>
      <c r="S25" s="1711"/>
    </row>
    <row r="26" spans="3:19" s="294" customFormat="1" ht="11.25" customHeight="1">
      <c r="D26" s="296" t="s">
        <v>1713</v>
      </c>
      <c r="E26" s="294" t="s">
        <v>1832</v>
      </c>
      <c r="F26" s="1726"/>
      <c r="H26" s="2790"/>
      <c r="I26" s="2793"/>
      <c r="J26" s="2793"/>
      <c r="K26" s="2793"/>
      <c r="L26" s="2793"/>
      <c r="M26" s="2793"/>
      <c r="N26" s="2794"/>
      <c r="O26" s="1721" t="s">
        <v>1963</v>
      </c>
      <c r="P26" s="1721"/>
      <c r="Q26" s="2790"/>
      <c r="R26" s="2793"/>
      <c r="S26" s="2794"/>
    </row>
    <row r="27" spans="3:19" s="294" customFormat="1" ht="11.25" customHeight="1">
      <c r="D27" s="333"/>
      <c r="E27" s="1718" t="s">
        <v>1008</v>
      </c>
      <c r="F27" s="306"/>
      <c r="H27" s="2627"/>
      <c r="I27" s="2699"/>
      <c r="J27" s="2699"/>
      <c r="K27" s="2700"/>
      <c r="L27" s="2699"/>
      <c r="M27" s="2699"/>
      <c r="N27" s="2701"/>
      <c r="O27" s="1721" t="s">
        <v>1726</v>
      </c>
      <c r="Q27" s="2553"/>
      <c r="R27" s="2613"/>
      <c r="S27" s="2614"/>
    </row>
    <row r="28" spans="3:19" s="294" customFormat="1" ht="11.25" customHeight="1">
      <c r="D28" s="333"/>
      <c r="E28" s="1718" t="s">
        <v>607</v>
      </c>
      <c r="H28" s="2627"/>
      <c r="I28" s="2700"/>
      <c r="J28" s="2633"/>
      <c r="K28" s="1733" t="s">
        <v>2666</v>
      </c>
      <c r="L28" s="2627"/>
      <c r="M28" s="2699"/>
      <c r="N28" s="2633"/>
      <c r="O28" s="1721" t="s">
        <v>1700</v>
      </c>
      <c r="Q28" s="2550"/>
      <c r="R28" s="2551"/>
      <c r="S28" s="2552"/>
    </row>
    <row r="29" spans="3:19" s="294" customFormat="1" ht="11.25" customHeight="1">
      <c r="E29" s="1718" t="s">
        <v>1776</v>
      </c>
      <c r="H29" s="2272"/>
      <c r="K29" s="1053" t="s">
        <v>2201</v>
      </c>
      <c r="L29" s="2677"/>
      <c r="M29" s="2802"/>
      <c r="O29" s="1721" t="s">
        <v>1953</v>
      </c>
      <c r="Q29" s="2550"/>
      <c r="R29" s="2551"/>
      <c r="S29" s="2552"/>
    </row>
    <row r="30" spans="3:19" s="294" customFormat="1" ht="11.25" customHeight="1">
      <c r="D30" s="333"/>
      <c r="E30" s="1718" t="s">
        <v>4047</v>
      </c>
      <c r="H30" s="2788"/>
      <c r="I30" s="2789"/>
      <c r="J30" s="2301"/>
      <c r="K30" s="1729" t="s">
        <v>1958</v>
      </c>
      <c r="L30" s="2547"/>
      <c r="M30" s="2548"/>
      <c r="N30" s="2642"/>
      <c r="O30" s="2642"/>
      <c r="P30" s="2642"/>
      <c r="Q30" s="2548"/>
      <c r="R30" s="2548"/>
      <c r="S30" s="2549"/>
    </row>
    <row r="31" spans="3:19" ht="4.3499999999999996" customHeight="1"/>
    <row r="32" spans="3:19" s="294" customFormat="1" ht="11.25" customHeight="1">
      <c r="C32" s="335" t="s">
        <v>1962</v>
      </c>
      <c r="D32" s="332" t="s">
        <v>1834</v>
      </c>
      <c r="H32" s="1726"/>
      <c r="I32" s="1726"/>
      <c r="J32" s="1726"/>
      <c r="K32" s="1274" t="s">
        <v>4046</v>
      </c>
      <c r="L32" s="1726"/>
      <c r="M32" s="1726"/>
    </row>
    <row r="33" spans="3:19" s="294" customFormat="1" ht="11.25" customHeight="1">
      <c r="D33" s="296" t="s">
        <v>2089</v>
      </c>
      <c r="E33" s="294" t="s">
        <v>739</v>
      </c>
      <c r="H33" s="2790" t="s">
        <v>4829</v>
      </c>
      <c r="I33" s="2793"/>
      <c r="J33" s="2793"/>
      <c r="K33" s="2793"/>
      <c r="L33" s="2793"/>
      <c r="M33" s="2793"/>
      <c r="N33" s="2794"/>
      <c r="O33" s="1721" t="s">
        <v>1963</v>
      </c>
      <c r="P33" s="1721"/>
      <c r="Q33" s="2790" t="s">
        <v>4834</v>
      </c>
      <c r="R33" s="2793"/>
      <c r="S33" s="2794"/>
    </row>
    <row r="34" spans="3:19" s="294" customFormat="1" ht="11.25" customHeight="1">
      <c r="D34" s="333"/>
      <c r="E34" s="1718" t="s">
        <v>1008</v>
      </c>
      <c r="F34" s="306"/>
      <c r="H34" s="2627" t="s">
        <v>4830</v>
      </c>
      <c r="I34" s="2699"/>
      <c r="J34" s="2699"/>
      <c r="K34" s="2700"/>
      <c r="L34" s="2699"/>
      <c r="M34" s="2699"/>
      <c r="N34" s="2701"/>
      <c r="O34" s="1721" t="s">
        <v>1726</v>
      </c>
      <c r="Q34" s="2553" t="s">
        <v>4835</v>
      </c>
      <c r="R34" s="2613"/>
      <c r="S34" s="2614"/>
    </row>
    <row r="35" spans="3:19" s="294" customFormat="1" ht="11.25" customHeight="1">
      <c r="D35" s="333"/>
      <c r="E35" s="1718" t="s">
        <v>607</v>
      </c>
      <c r="H35" s="2627" t="s">
        <v>4831</v>
      </c>
      <c r="I35" s="2700"/>
      <c r="J35" s="2633"/>
      <c r="K35" s="1733" t="s">
        <v>2666</v>
      </c>
      <c r="L35" s="2627" t="s">
        <v>4832</v>
      </c>
      <c r="M35" s="2699"/>
      <c r="N35" s="2633"/>
      <c r="O35" s="1721" t="s">
        <v>1700</v>
      </c>
      <c r="Q35" s="2550">
        <v>2126185619</v>
      </c>
      <c r="R35" s="2551"/>
      <c r="S35" s="2552"/>
    </row>
    <row r="36" spans="3:19" s="294" customFormat="1" ht="11.25" customHeight="1">
      <c r="E36" s="1718" t="s">
        <v>1776</v>
      </c>
      <c r="H36" s="2272" t="s">
        <v>1333</v>
      </c>
      <c r="K36" s="1053" t="s">
        <v>2201</v>
      </c>
      <c r="L36" s="2677">
        <v>102818098</v>
      </c>
      <c r="M36" s="2802"/>
      <c r="O36" s="1721" t="s">
        <v>1953</v>
      </c>
      <c r="Q36" s="2550"/>
      <c r="R36" s="2551"/>
      <c r="S36" s="2552"/>
    </row>
    <row r="37" spans="3:19" s="294" customFormat="1" ht="11.25" customHeight="1">
      <c r="D37" s="333"/>
      <c r="E37" s="1718" t="s">
        <v>4047</v>
      </c>
      <c r="H37" s="2788">
        <v>2126185619</v>
      </c>
      <c r="I37" s="2789"/>
      <c r="J37" s="2301"/>
      <c r="K37" s="1729" t="s">
        <v>1958</v>
      </c>
      <c r="L37" s="2547" t="s">
        <v>4833</v>
      </c>
      <c r="M37" s="2548"/>
      <c r="N37" s="2642"/>
      <c r="O37" s="2642"/>
      <c r="P37" s="2642"/>
      <c r="Q37" s="2548"/>
      <c r="R37" s="2548"/>
      <c r="S37" s="2549"/>
    </row>
    <row r="38" spans="3:19" ht="4.3499999999999996" customHeight="1">
      <c r="H38" s="2302"/>
      <c r="I38" s="2302"/>
      <c r="J38" s="2302"/>
      <c r="K38" s="1729"/>
      <c r="L38" s="2302"/>
      <c r="M38" s="2302"/>
      <c r="N38" s="1723"/>
      <c r="O38" s="1711"/>
      <c r="P38" s="1711"/>
      <c r="Q38" s="1729"/>
      <c r="R38" s="1711"/>
      <c r="S38" s="1711"/>
    </row>
    <row r="39" spans="3:19" s="294" customFormat="1" ht="11.25" customHeight="1">
      <c r="D39" s="296" t="s">
        <v>2090</v>
      </c>
      <c r="E39" s="294" t="s">
        <v>740</v>
      </c>
      <c r="F39" s="296"/>
      <c r="H39" s="2790" t="s">
        <v>4829</v>
      </c>
      <c r="I39" s="2793"/>
      <c r="J39" s="2793"/>
      <c r="K39" s="2793"/>
      <c r="L39" s="2793"/>
      <c r="M39" s="2793"/>
      <c r="N39" s="2794"/>
      <c r="O39" s="1721" t="s">
        <v>1963</v>
      </c>
      <c r="P39" s="1721"/>
      <c r="Q39" s="2790" t="s">
        <v>4834</v>
      </c>
      <c r="R39" s="2793"/>
      <c r="S39" s="2794"/>
    </row>
    <row r="40" spans="3:19" s="294" customFormat="1" ht="11.25" customHeight="1">
      <c r="D40" s="333"/>
      <c r="E40" s="1718" t="s">
        <v>1008</v>
      </c>
      <c r="F40" s="306"/>
      <c r="H40" s="2627" t="s">
        <v>4830</v>
      </c>
      <c r="I40" s="2699"/>
      <c r="J40" s="2699"/>
      <c r="K40" s="2700"/>
      <c r="L40" s="2699"/>
      <c r="M40" s="2699"/>
      <c r="N40" s="2701"/>
      <c r="O40" s="1721" t="s">
        <v>1726</v>
      </c>
      <c r="Q40" s="2553" t="s">
        <v>4835</v>
      </c>
      <c r="R40" s="2613"/>
      <c r="S40" s="2614"/>
    </row>
    <row r="41" spans="3:19" s="294" customFormat="1" ht="11.25" customHeight="1">
      <c r="D41" s="333"/>
      <c r="E41" s="1718" t="s">
        <v>607</v>
      </c>
      <c r="H41" s="2627" t="s">
        <v>4831</v>
      </c>
      <c r="I41" s="2700"/>
      <c r="J41" s="2633"/>
      <c r="K41" s="1733" t="s">
        <v>2666</v>
      </c>
      <c r="L41" s="2627" t="s">
        <v>4832</v>
      </c>
      <c r="M41" s="2699"/>
      <c r="N41" s="2633"/>
      <c r="O41" s="1721" t="s">
        <v>1700</v>
      </c>
      <c r="Q41" s="2550">
        <v>2126185619</v>
      </c>
      <c r="R41" s="2551"/>
      <c r="S41" s="2552"/>
    </row>
    <row r="42" spans="3:19" s="294" customFormat="1" ht="11.25" customHeight="1">
      <c r="D42" s="296"/>
      <c r="E42" s="1718" t="s">
        <v>1776</v>
      </c>
      <c r="H42" s="2272" t="s">
        <v>1333</v>
      </c>
      <c r="K42" s="1053" t="s">
        <v>2201</v>
      </c>
      <c r="L42" s="2677">
        <v>102818098</v>
      </c>
      <c r="M42" s="2802"/>
      <c r="O42" s="1721" t="s">
        <v>1953</v>
      </c>
      <c r="Q42" s="2550"/>
      <c r="R42" s="2551"/>
      <c r="S42" s="2552"/>
    </row>
    <row r="43" spans="3:19" s="294" customFormat="1" ht="11.25" customHeight="1">
      <c r="D43" s="333"/>
      <c r="E43" s="1718" t="s">
        <v>4047</v>
      </c>
      <c r="H43" s="2788">
        <v>2126185619</v>
      </c>
      <c r="I43" s="2789"/>
      <c r="J43" s="2301"/>
      <c r="K43" s="1729" t="s">
        <v>1958</v>
      </c>
      <c r="L43" s="2547" t="s">
        <v>4833</v>
      </c>
      <c r="M43" s="2548"/>
      <c r="N43" s="2642"/>
      <c r="O43" s="2642"/>
      <c r="P43" s="2642"/>
      <c r="Q43" s="2548"/>
      <c r="R43" s="2548"/>
      <c r="S43" s="2549"/>
    </row>
    <row r="44" spans="3:19" s="294" customFormat="1" ht="4.3499999999999996" customHeight="1">
      <c r="D44" s="333"/>
      <c r="E44" s="1718"/>
      <c r="F44" s="296"/>
      <c r="H44" s="328"/>
      <c r="I44" s="328"/>
      <c r="J44" s="1713"/>
      <c r="K44" s="1729"/>
      <c r="L44" s="328"/>
      <c r="M44" s="328"/>
      <c r="N44" s="1729"/>
      <c r="O44" s="328"/>
      <c r="P44" s="328"/>
      <c r="Q44" s="1729"/>
      <c r="R44" s="328"/>
      <c r="S44" s="328"/>
    </row>
    <row r="45" spans="3:19" s="294" customFormat="1" ht="11.25" customHeight="1">
      <c r="C45" s="336" t="s">
        <v>2501</v>
      </c>
      <c r="D45" s="332" t="s">
        <v>640</v>
      </c>
      <c r="H45" s="1726"/>
      <c r="I45" s="1726"/>
      <c r="J45" s="1726"/>
      <c r="K45" s="1274" t="s">
        <v>4046</v>
      </c>
      <c r="L45" s="1726"/>
      <c r="M45" s="1726"/>
    </row>
    <row r="46" spans="3:19" s="294" customFormat="1" ht="11.25" customHeight="1">
      <c r="E46" s="294" t="s">
        <v>90</v>
      </c>
      <c r="H46" s="2790"/>
      <c r="I46" s="2793"/>
      <c r="J46" s="2793"/>
      <c r="K46" s="2793"/>
      <c r="L46" s="2793"/>
      <c r="M46" s="2793"/>
      <c r="N46" s="2794"/>
      <c r="O46" s="1721" t="s">
        <v>1963</v>
      </c>
      <c r="P46" s="1721"/>
      <c r="Q46" s="2790"/>
      <c r="R46" s="2793"/>
      <c r="S46" s="2794"/>
    </row>
    <row r="47" spans="3:19" s="294" customFormat="1" ht="11.25" customHeight="1">
      <c r="D47" s="333"/>
      <c r="E47" s="1718" t="s">
        <v>1008</v>
      </c>
      <c r="F47" s="306"/>
      <c r="H47" s="2627"/>
      <c r="I47" s="2699"/>
      <c r="J47" s="2699"/>
      <c r="K47" s="2700"/>
      <c r="L47" s="2699"/>
      <c r="M47" s="2699"/>
      <c r="N47" s="2701"/>
      <c r="O47" s="1721" t="s">
        <v>1726</v>
      </c>
      <c r="Q47" s="2553"/>
      <c r="R47" s="2613"/>
      <c r="S47" s="2614"/>
    </row>
    <row r="48" spans="3:19" s="294" customFormat="1" ht="11.25" customHeight="1">
      <c r="D48" s="333"/>
      <c r="E48" s="1718" t="s">
        <v>607</v>
      </c>
      <c r="H48" s="2627"/>
      <c r="I48" s="2700"/>
      <c r="J48" s="2633"/>
      <c r="K48" s="1733" t="s">
        <v>2666</v>
      </c>
      <c r="L48" s="2627"/>
      <c r="M48" s="2699"/>
      <c r="N48" s="2633"/>
      <c r="O48" s="1721" t="s">
        <v>1700</v>
      </c>
      <c r="Q48" s="2550"/>
      <c r="R48" s="2551"/>
      <c r="S48" s="2552"/>
    </row>
    <row r="49" spans="1:19" s="294" customFormat="1" ht="11.25" customHeight="1">
      <c r="E49" s="1718" t="s">
        <v>1776</v>
      </c>
      <c r="H49" s="2272"/>
      <c r="K49" s="1053" t="s">
        <v>2201</v>
      </c>
      <c r="L49" s="2677"/>
      <c r="M49" s="2802"/>
      <c r="O49" s="1721" t="s">
        <v>1953</v>
      </c>
      <c r="Q49" s="2550"/>
      <c r="R49" s="2551"/>
      <c r="S49" s="2552"/>
    </row>
    <row r="50" spans="1:19" s="294" customFormat="1" ht="11.25" customHeight="1">
      <c r="D50" s="333"/>
      <c r="E50" s="1718" t="s">
        <v>4047</v>
      </c>
      <c r="H50" s="2788"/>
      <c r="I50" s="2789"/>
      <c r="J50" s="2301"/>
      <c r="K50" s="1729" t="s">
        <v>1958</v>
      </c>
      <c r="L50" s="2547"/>
      <c r="M50" s="2548"/>
      <c r="N50" s="2642"/>
      <c r="O50" s="2642"/>
      <c r="P50" s="2642"/>
      <c r="Q50" s="2548"/>
      <c r="R50" s="2548"/>
      <c r="S50" s="2549"/>
    </row>
    <row r="51" spans="1:19" ht="6.75" customHeight="1"/>
    <row r="52" spans="1:19" s="294" customFormat="1" ht="13.35" customHeight="1">
      <c r="A52" s="296" t="s">
        <v>729</v>
      </c>
      <c r="B52" s="296" t="s">
        <v>641</v>
      </c>
      <c r="F52" s="296"/>
      <c r="G52" s="1729"/>
      <c r="H52" s="1729"/>
      <c r="I52" s="1729"/>
      <c r="J52" s="1726"/>
      <c r="K52" s="1274" t="s">
        <v>4046</v>
      </c>
      <c r="L52" s="1726"/>
      <c r="M52" s="1726"/>
      <c r="N52" s="1726"/>
      <c r="O52" s="1726"/>
      <c r="P52" s="1726"/>
      <c r="Q52" s="1726"/>
      <c r="R52" s="1726"/>
      <c r="S52" s="1726"/>
    </row>
    <row r="53" spans="1:19" s="294" customFormat="1" ht="3" customHeight="1">
      <c r="A53" s="296"/>
      <c r="B53" s="296"/>
      <c r="F53" s="296"/>
      <c r="G53" s="1729"/>
      <c r="H53" s="2303"/>
      <c r="I53" s="2303"/>
      <c r="J53" s="2303"/>
      <c r="K53" s="1723"/>
      <c r="L53" s="2303"/>
      <c r="M53" s="2303"/>
      <c r="N53" s="1723"/>
      <c r="O53" s="1711"/>
      <c r="P53" s="1711"/>
      <c r="Q53" s="1729"/>
      <c r="R53" s="1711"/>
      <c r="S53" s="1711"/>
    </row>
    <row r="54" spans="1:19" s="294" customFormat="1" ht="11.25" customHeight="1">
      <c r="B54" s="296" t="s">
        <v>1957</v>
      </c>
      <c r="C54" s="296" t="s">
        <v>279</v>
      </c>
      <c r="H54" s="2790" t="s">
        <v>4807</v>
      </c>
      <c r="I54" s="2793"/>
      <c r="J54" s="2793"/>
      <c r="K54" s="2793"/>
      <c r="L54" s="2793"/>
      <c r="M54" s="2793"/>
      <c r="N54" s="2794"/>
      <c r="O54" s="1721" t="s">
        <v>1963</v>
      </c>
      <c r="P54" s="1721"/>
      <c r="Q54" s="2790" t="s">
        <v>4820</v>
      </c>
      <c r="R54" s="2793"/>
      <c r="S54" s="2794"/>
    </row>
    <row r="55" spans="1:19" s="294" customFormat="1" ht="11.25" customHeight="1">
      <c r="D55" s="333"/>
      <c r="E55" s="1718" t="s">
        <v>1008</v>
      </c>
      <c r="F55" s="306"/>
      <c r="H55" s="2627" t="s">
        <v>4836</v>
      </c>
      <c r="I55" s="2699"/>
      <c r="J55" s="2699"/>
      <c r="K55" s="2700"/>
      <c r="L55" s="2699"/>
      <c r="M55" s="2699"/>
      <c r="N55" s="2701"/>
      <c r="O55" s="1721" t="s">
        <v>1726</v>
      </c>
      <c r="Q55" s="2553" t="s">
        <v>4839</v>
      </c>
      <c r="R55" s="2613"/>
      <c r="S55" s="2614"/>
    </row>
    <row r="56" spans="1:19" s="294" customFormat="1" ht="11.25" customHeight="1">
      <c r="D56" s="333"/>
      <c r="E56" s="1718" t="s">
        <v>607</v>
      </c>
      <c r="H56" s="2627" t="s">
        <v>4837</v>
      </c>
      <c r="I56" s="2700"/>
      <c r="J56" s="2633"/>
      <c r="K56" s="1733" t="s">
        <v>2666</v>
      </c>
      <c r="L56" s="2627" t="s">
        <v>4838</v>
      </c>
      <c r="M56" s="2699"/>
      <c r="N56" s="2633"/>
      <c r="O56" s="1721" t="s">
        <v>1700</v>
      </c>
      <c r="Q56" s="2550">
        <v>2673868668</v>
      </c>
      <c r="R56" s="2551"/>
      <c r="S56" s="2552"/>
    </row>
    <row r="57" spans="1:19" s="294" customFormat="1" ht="11.25" customHeight="1">
      <c r="E57" s="1718" t="s">
        <v>1776</v>
      </c>
      <c r="H57" s="2272" t="s">
        <v>1339</v>
      </c>
      <c r="K57" s="1053" t="s">
        <v>2201</v>
      </c>
      <c r="L57" s="2677">
        <v>191214495</v>
      </c>
      <c r="M57" s="2802"/>
      <c r="O57" s="1721" t="s">
        <v>1953</v>
      </c>
      <c r="Q57" s="2550"/>
      <c r="R57" s="2551"/>
      <c r="S57" s="2552"/>
    </row>
    <row r="58" spans="1:19" s="294" customFormat="1" ht="11.25" customHeight="1">
      <c r="D58" s="333"/>
      <c r="E58" s="1718" t="s">
        <v>4047</v>
      </c>
      <c r="H58" s="2788">
        <v>2673868600</v>
      </c>
      <c r="I58" s="2789"/>
      <c r="J58" s="2301"/>
      <c r="K58" s="1729" t="s">
        <v>1958</v>
      </c>
      <c r="L58" s="2547" t="s">
        <v>4827</v>
      </c>
      <c r="M58" s="2548"/>
      <c r="N58" s="2642"/>
      <c r="O58" s="2642"/>
      <c r="P58" s="2642"/>
      <c r="Q58" s="2548"/>
      <c r="R58" s="2548"/>
      <c r="S58" s="2549"/>
    </row>
    <row r="59" spans="1:19" s="294" customFormat="1" ht="6.6" customHeight="1">
      <c r="D59" s="333"/>
      <c r="E59" s="1726"/>
      <c r="F59" s="1726"/>
      <c r="G59" s="1721"/>
      <c r="H59" s="2302"/>
      <c r="I59" s="2302"/>
      <c r="J59" s="2302"/>
      <c r="K59" s="1729"/>
      <c r="L59" s="2302"/>
      <c r="M59" s="2302"/>
      <c r="N59" s="1723"/>
      <c r="O59" s="1711"/>
      <c r="P59" s="1711"/>
      <c r="Q59" s="1729"/>
      <c r="R59" s="1711"/>
      <c r="S59" s="1711"/>
    </row>
    <row r="60" spans="1:19" s="294" customFormat="1" ht="11.25" customHeight="1">
      <c r="B60" s="296" t="s">
        <v>1959</v>
      </c>
      <c r="C60" s="296" t="s">
        <v>280</v>
      </c>
      <c r="H60" s="2790" t="s">
        <v>5006</v>
      </c>
      <c r="I60" s="2793"/>
      <c r="J60" s="2793"/>
      <c r="K60" s="2793"/>
      <c r="L60" s="2793"/>
      <c r="M60" s="2793"/>
      <c r="N60" s="2794"/>
      <c r="O60" s="1721" t="s">
        <v>1963</v>
      </c>
      <c r="P60" s="1721"/>
      <c r="Q60" s="2790" t="s">
        <v>4990</v>
      </c>
      <c r="R60" s="2793"/>
      <c r="S60" s="2794"/>
    </row>
    <row r="61" spans="1:19" s="294" customFormat="1" ht="11.25" customHeight="1">
      <c r="D61" s="333"/>
      <c r="E61" s="1718" t="s">
        <v>1008</v>
      </c>
      <c r="F61" s="306"/>
      <c r="H61" s="2627" t="s">
        <v>5007</v>
      </c>
      <c r="I61" s="2699"/>
      <c r="J61" s="2699"/>
      <c r="K61" s="2700"/>
      <c r="L61" s="2699"/>
      <c r="M61" s="2699"/>
      <c r="N61" s="2701"/>
      <c r="O61" s="1721" t="s">
        <v>1726</v>
      </c>
      <c r="Q61" s="2553" t="s">
        <v>4839</v>
      </c>
      <c r="R61" s="2613"/>
      <c r="S61" s="2614"/>
    </row>
    <row r="62" spans="1:19" s="294" customFormat="1" ht="11.25" customHeight="1">
      <c r="D62" s="333"/>
      <c r="E62" s="1718" t="s">
        <v>607</v>
      </c>
      <c r="H62" s="2627" t="s">
        <v>1190</v>
      </c>
      <c r="I62" s="2700"/>
      <c r="J62" s="2633"/>
      <c r="K62" s="1733" t="s">
        <v>2666</v>
      </c>
      <c r="L62" s="2627" t="s">
        <v>4991</v>
      </c>
      <c r="M62" s="2699"/>
      <c r="N62" s="2633"/>
      <c r="O62" s="1721" t="s">
        <v>1700</v>
      </c>
      <c r="Q62" s="2550">
        <v>4046274304</v>
      </c>
      <c r="R62" s="2551"/>
      <c r="S62" s="2552"/>
    </row>
    <row r="63" spans="1:19" s="294" customFormat="1" ht="11.25" customHeight="1">
      <c r="E63" s="1718" t="s">
        <v>1776</v>
      </c>
      <c r="H63" s="2272" t="s">
        <v>836</v>
      </c>
      <c r="K63" s="1053" t="s">
        <v>2201</v>
      </c>
      <c r="L63" s="2677">
        <v>303150000</v>
      </c>
      <c r="M63" s="2802"/>
      <c r="O63" s="1721" t="s">
        <v>1953</v>
      </c>
      <c r="Q63" s="2550">
        <v>4048197539</v>
      </c>
      <c r="R63" s="2551"/>
      <c r="S63" s="2552"/>
    </row>
    <row r="64" spans="1:19" s="294" customFormat="1" ht="11.25" customHeight="1">
      <c r="D64" s="333"/>
      <c r="E64" s="1718" t="s">
        <v>4047</v>
      </c>
      <c r="H64" s="2788">
        <v>4046274304</v>
      </c>
      <c r="I64" s="2789"/>
      <c r="J64" s="2301"/>
      <c r="K64" s="1729" t="s">
        <v>1958</v>
      </c>
      <c r="L64" s="2547" t="s">
        <v>4992</v>
      </c>
      <c r="M64" s="2548"/>
      <c r="N64" s="2642"/>
      <c r="O64" s="2642"/>
      <c r="P64" s="2642"/>
      <c r="Q64" s="2548"/>
      <c r="R64" s="2548"/>
      <c r="S64" s="2549"/>
    </row>
    <row r="65" spans="1:19" s="294" customFormat="1" ht="6.6" customHeight="1">
      <c r="D65" s="333"/>
      <c r="E65" s="1726"/>
      <c r="F65" s="1726"/>
      <c r="G65" s="1721"/>
      <c r="H65" s="2302"/>
      <c r="I65" s="2302"/>
      <c r="J65" s="2302"/>
      <c r="K65" s="1729"/>
      <c r="L65" s="2302"/>
      <c r="M65" s="2302"/>
      <c r="N65" s="1723"/>
      <c r="O65" s="1711"/>
      <c r="P65" s="1711"/>
      <c r="Q65" s="1729"/>
      <c r="R65" s="1711"/>
      <c r="S65" s="1711"/>
    </row>
    <row r="66" spans="1:19" s="294" customFormat="1" ht="11.25" customHeight="1">
      <c r="B66" s="296" t="s">
        <v>738</v>
      </c>
      <c r="C66" s="296" t="s">
        <v>1510</v>
      </c>
      <c r="H66" s="2790"/>
      <c r="I66" s="2793"/>
      <c r="J66" s="2793"/>
      <c r="K66" s="2793"/>
      <c r="L66" s="2793"/>
      <c r="M66" s="2793"/>
      <c r="N66" s="2794"/>
      <c r="O66" s="1721" t="s">
        <v>1963</v>
      </c>
      <c r="P66" s="1721"/>
      <c r="Q66" s="2790"/>
      <c r="R66" s="2793"/>
      <c r="S66" s="2794"/>
    </row>
    <row r="67" spans="1:19" s="294" customFormat="1" ht="11.25" customHeight="1">
      <c r="D67" s="333"/>
      <c r="E67" s="1718" t="s">
        <v>1008</v>
      </c>
      <c r="F67" s="306"/>
      <c r="H67" s="2627"/>
      <c r="I67" s="2699"/>
      <c r="J67" s="2699"/>
      <c r="K67" s="2700"/>
      <c r="L67" s="2699"/>
      <c r="M67" s="2699"/>
      <c r="N67" s="2701"/>
      <c r="O67" s="1721" t="s">
        <v>1726</v>
      </c>
      <c r="Q67" s="2553"/>
      <c r="R67" s="2613"/>
      <c r="S67" s="2614"/>
    </row>
    <row r="68" spans="1:19" s="294" customFormat="1" ht="11.25" customHeight="1">
      <c r="D68" s="333"/>
      <c r="E68" s="1718" t="s">
        <v>607</v>
      </c>
      <c r="H68" s="2627"/>
      <c r="I68" s="2700"/>
      <c r="J68" s="2633"/>
      <c r="K68" s="1733" t="s">
        <v>2666</v>
      </c>
      <c r="L68" s="2627"/>
      <c r="M68" s="2699"/>
      <c r="N68" s="2633"/>
      <c r="O68" s="1721" t="s">
        <v>1700</v>
      </c>
      <c r="Q68" s="2550"/>
      <c r="R68" s="2551"/>
      <c r="S68" s="2552"/>
    </row>
    <row r="69" spans="1:19" s="294" customFormat="1" ht="11.25" customHeight="1">
      <c r="E69" s="1718" t="s">
        <v>1776</v>
      </c>
      <c r="H69" s="2272"/>
      <c r="K69" s="1053" t="s">
        <v>2201</v>
      </c>
      <c r="L69" s="2677"/>
      <c r="M69" s="2802"/>
      <c r="O69" s="1721" t="s">
        <v>1953</v>
      </c>
      <c r="Q69" s="2550"/>
      <c r="R69" s="2551"/>
      <c r="S69" s="2552"/>
    </row>
    <row r="70" spans="1:19" s="294" customFormat="1" ht="11.25" customHeight="1">
      <c r="D70" s="333"/>
      <c r="E70" s="1718" t="s">
        <v>4047</v>
      </c>
      <c r="H70" s="2788"/>
      <c r="I70" s="2789"/>
      <c r="J70" s="2301"/>
      <c r="K70" s="1729" t="s">
        <v>1958</v>
      </c>
      <c r="L70" s="2547"/>
      <c r="M70" s="2548"/>
      <c r="N70" s="2642"/>
      <c r="O70" s="2642"/>
      <c r="P70" s="2642"/>
      <c r="Q70" s="2548"/>
      <c r="R70" s="2548"/>
      <c r="S70" s="2549"/>
    </row>
    <row r="71" spans="1:19" ht="6.6" customHeight="1">
      <c r="H71" s="2302"/>
      <c r="I71" s="2302"/>
      <c r="J71" s="2302"/>
      <c r="K71" s="1729"/>
      <c r="L71" s="2302"/>
      <c r="M71" s="2302"/>
      <c r="N71" s="1723"/>
      <c r="O71" s="1711"/>
      <c r="P71" s="1711"/>
      <c r="Q71" s="1729"/>
      <c r="R71" s="1711"/>
      <c r="S71" s="1711"/>
    </row>
    <row r="72" spans="1:19" s="294" customFormat="1" ht="11.25" customHeight="1">
      <c r="B72" s="296" t="s">
        <v>2088</v>
      </c>
      <c r="C72" s="296" t="s">
        <v>281</v>
      </c>
      <c r="H72" s="2790" t="s">
        <v>4840</v>
      </c>
      <c r="I72" s="2793"/>
      <c r="J72" s="2793"/>
      <c r="K72" s="2793"/>
      <c r="L72" s="2793"/>
      <c r="M72" s="2793"/>
      <c r="N72" s="2794"/>
      <c r="O72" s="1721" t="s">
        <v>1963</v>
      </c>
      <c r="P72" s="1721"/>
      <c r="Q72" s="2790" t="s">
        <v>4845</v>
      </c>
      <c r="R72" s="2793"/>
      <c r="S72" s="2794"/>
    </row>
    <row r="73" spans="1:19" s="294" customFormat="1" ht="11.25" customHeight="1">
      <c r="D73" s="333"/>
      <c r="E73" s="1718" t="s">
        <v>1008</v>
      </c>
      <c r="F73" s="306"/>
      <c r="H73" s="2627" t="s">
        <v>4841</v>
      </c>
      <c r="I73" s="2699"/>
      <c r="J73" s="2699"/>
      <c r="K73" s="2700"/>
      <c r="L73" s="2699"/>
      <c r="M73" s="2699"/>
      <c r="N73" s="2701"/>
      <c r="O73" s="1721" t="s">
        <v>1726</v>
      </c>
      <c r="Q73" s="2553" t="s">
        <v>4839</v>
      </c>
      <c r="R73" s="2613"/>
      <c r="S73" s="2614"/>
    </row>
    <row r="74" spans="1:19" s="294" customFormat="1" ht="11.25" customHeight="1">
      <c r="D74" s="333"/>
      <c r="E74" s="1718" t="s">
        <v>607</v>
      </c>
      <c r="H74" s="2627" t="s">
        <v>4842</v>
      </c>
      <c r="I74" s="2700"/>
      <c r="J74" s="2633"/>
      <c r="K74" s="1733" t="s">
        <v>2666</v>
      </c>
      <c r="L74" s="2627" t="s">
        <v>4843</v>
      </c>
      <c r="M74" s="2699"/>
      <c r="N74" s="2633"/>
      <c r="O74" s="1721" t="s">
        <v>1700</v>
      </c>
      <c r="Q74" s="2550">
        <v>2259339688</v>
      </c>
      <c r="R74" s="2551"/>
      <c r="S74" s="2552"/>
    </row>
    <row r="75" spans="1:19" s="294" customFormat="1" ht="11.25" customHeight="1">
      <c r="E75" s="1718" t="s">
        <v>1776</v>
      </c>
      <c r="H75" s="2272" t="s">
        <v>844</v>
      </c>
      <c r="K75" s="1053" t="s">
        <v>2201</v>
      </c>
      <c r="L75" s="2677">
        <v>708081231</v>
      </c>
      <c r="M75" s="2802"/>
      <c r="O75" s="1721" t="s">
        <v>1953</v>
      </c>
      <c r="Q75" s="2550"/>
      <c r="R75" s="2551"/>
      <c r="S75" s="2552"/>
    </row>
    <row r="76" spans="1:19" s="294" customFormat="1" ht="11.25" customHeight="1">
      <c r="D76" s="333"/>
      <c r="E76" s="1718" t="s">
        <v>4047</v>
      </c>
      <c r="H76" s="2788">
        <v>2259339688</v>
      </c>
      <c r="I76" s="2789"/>
      <c r="J76" s="2301"/>
      <c r="K76" s="1729" t="s">
        <v>1958</v>
      </c>
      <c r="L76" s="2547" t="s">
        <v>4844</v>
      </c>
      <c r="M76" s="2548"/>
      <c r="N76" s="2642"/>
      <c r="O76" s="2642"/>
      <c r="P76" s="2642"/>
      <c r="Q76" s="2548"/>
      <c r="R76" s="2548"/>
      <c r="S76" s="2549"/>
    </row>
    <row r="77" spans="1:19" ht="6.75" customHeight="1"/>
    <row r="78" spans="1:19" s="1718" customFormat="1" ht="13.35" customHeight="1">
      <c r="A78" s="299" t="s">
        <v>731</v>
      </c>
      <c r="B78" s="299" t="s">
        <v>282</v>
      </c>
      <c r="D78" s="299"/>
      <c r="E78" s="1721"/>
      <c r="F78" s="1720"/>
      <c r="G78" s="1720"/>
      <c r="H78" s="1720"/>
      <c r="I78" s="1720"/>
      <c r="J78" s="1720"/>
      <c r="K78" s="1274" t="s">
        <v>4046</v>
      </c>
      <c r="L78" s="1720"/>
      <c r="M78" s="1720"/>
    </row>
    <row r="79" spans="1:19" s="1718" customFormat="1" ht="3" customHeight="1">
      <c r="A79" s="299"/>
      <c r="B79" s="299"/>
      <c r="D79" s="299"/>
      <c r="E79" s="1721"/>
      <c r="F79" s="1720"/>
      <c r="G79" s="1720"/>
      <c r="H79" s="2303"/>
      <c r="I79" s="2303"/>
      <c r="J79" s="2303"/>
      <c r="K79" s="1723"/>
      <c r="L79" s="2303"/>
      <c r="M79" s="2303"/>
      <c r="N79" s="1723"/>
      <c r="O79" s="1711"/>
      <c r="P79" s="1711"/>
      <c r="Q79" s="1729"/>
      <c r="R79" s="1711"/>
      <c r="S79" s="1711"/>
    </row>
    <row r="80" spans="1:19" s="294" customFormat="1" ht="11.25" customHeight="1">
      <c r="B80" s="296" t="s">
        <v>1957</v>
      </c>
      <c r="C80" s="296" t="s">
        <v>283</v>
      </c>
      <c r="H80" s="2790"/>
      <c r="I80" s="2793"/>
      <c r="J80" s="2793"/>
      <c r="K80" s="2793"/>
      <c r="L80" s="2793"/>
      <c r="M80" s="2793"/>
      <c r="N80" s="2794"/>
      <c r="O80" s="1721" t="s">
        <v>1963</v>
      </c>
      <c r="P80" s="1721"/>
      <c r="Q80" s="2790"/>
      <c r="R80" s="2793"/>
      <c r="S80" s="2794"/>
    </row>
    <row r="81" spans="2:19" s="294" customFormat="1" ht="11.25" customHeight="1">
      <c r="D81" s="333"/>
      <c r="E81" s="1718" t="s">
        <v>1008</v>
      </c>
      <c r="F81" s="306"/>
      <c r="H81" s="2627"/>
      <c r="I81" s="2699"/>
      <c r="J81" s="2699"/>
      <c r="K81" s="2700"/>
      <c r="L81" s="2699"/>
      <c r="M81" s="2699"/>
      <c r="N81" s="2701"/>
      <c r="O81" s="1721" t="s">
        <v>1726</v>
      </c>
      <c r="Q81" s="2553"/>
      <c r="R81" s="2613"/>
      <c r="S81" s="2614"/>
    </row>
    <row r="82" spans="2:19" s="294" customFormat="1" ht="11.25" customHeight="1">
      <c r="D82" s="333"/>
      <c r="E82" s="1718" t="s">
        <v>607</v>
      </c>
      <c r="H82" s="2627"/>
      <c r="I82" s="2700"/>
      <c r="J82" s="2633"/>
      <c r="K82" s="1733" t="s">
        <v>2666</v>
      </c>
      <c r="L82" s="2627"/>
      <c r="M82" s="2699"/>
      <c r="N82" s="2633"/>
      <c r="O82" s="1721" t="s">
        <v>1700</v>
      </c>
      <c r="Q82" s="2550"/>
      <c r="R82" s="2551"/>
      <c r="S82" s="2552"/>
    </row>
    <row r="83" spans="2:19" s="294" customFormat="1" ht="11.25" customHeight="1">
      <c r="E83" s="1718" t="s">
        <v>1776</v>
      </c>
      <c r="H83" s="2272"/>
      <c r="K83" s="1053" t="s">
        <v>2201</v>
      </c>
      <c r="L83" s="2677"/>
      <c r="M83" s="2802"/>
      <c r="O83" s="1721" t="s">
        <v>1953</v>
      </c>
      <c r="Q83" s="2550"/>
      <c r="R83" s="2551"/>
      <c r="S83" s="2552"/>
    </row>
    <row r="84" spans="2:19" s="294" customFormat="1" ht="11.25" customHeight="1">
      <c r="D84" s="333"/>
      <c r="E84" s="1718" t="s">
        <v>4047</v>
      </c>
      <c r="H84" s="2788"/>
      <c r="I84" s="2789"/>
      <c r="J84" s="2301"/>
      <c r="K84" s="1729" t="s">
        <v>1958</v>
      </c>
      <c r="L84" s="2547"/>
      <c r="M84" s="2548"/>
      <c r="N84" s="2642"/>
      <c r="O84" s="2642"/>
      <c r="P84" s="2642"/>
      <c r="Q84" s="2548"/>
      <c r="R84" s="2548"/>
      <c r="S84" s="2549"/>
    </row>
    <row r="85" spans="2:19" ht="6.6" customHeight="1">
      <c r="H85" s="2302"/>
      <c r="I85" s="2302"/>
      <c r="J85" s="2302"/>
      <c r="K85" s="1729"/>
      <c r="L85" s="2302"/>
      <c r="M85" s="2302"/>
      <c r="N85" s="1723"/>
      <c r="O85" s="1711"/>
      <c r="P85" s="1711"/>
      <c r="Q85" s="1729"/>
      <c r="R85" s="1711"/>
      <c r="S85" s="1711"/>
    </row>
    <row r="86" spans="2:19" s="294" customFormat="1" ht="11.25" customHeight="1">
      <c r="B86" s="296" t="s">
        <v>1959</v>
      </c>
      <c r="C86" s="296" t="s">
        <v>284</v>
      </c>
      <c r="H86" s="2790" t="s">
        <v>4846</v>
      </c>
      <c r="I86" s="2793"/>
      <c r="J86" s="2793"/>
      <c r="K86" s="2793"/>
      <c r="L86" s="2793"/>
      <c r="M86" s="2793"/>
      <c r="N86" s="2794"/>
      <c r="O86" s="1721" t="s">
        <v>1963</v>
      </c>
      <c r="P86" s="1721"/>
      <c r="Q86" s="2790" t="s">
        <v>4851</v>
      </c>
      <c r="R86" s="2793"/>
      <c r="S86" s="2794"/>
    </row>
    <row r="87" spans="2:19" s="294" customFormat="1" ht="11.25" customHeight="1">
      <c r="D87" s="333"/>
      <c r="E87" s="1718" t="s">
        <v>1008</v>
      </c>
      <c r="F87" s="306"/>
      <c r="H87" s="2627" t="s">
        <v>4847</v>
      </c>
      <c r="I87" s="2699"/>
      <c r="J87" s="2699"/>
      <c r="K87" s="2700"/>
      <c r="L87" s="2699"/>
      <c r="M87" s="2699"/>
      <c r="N87" s="2701"/>
      <c r="O87" s="1721" t="s">
        <v>1726</v>
      </c>
      <c r="Q87" s="2553" t="s">
        <v>4852</v>
      </c>
      <c r="R87" s="2613"/>
      <c r="S87" s="2614"/>
    </row>
    <row r="88" spans="2:19" s="294" customFormat="1" ht="11.25" customHeight="1">
      <c r="D88" s="333"/>
      <c r="E88" s="1718" t="s">
        <v>607</v>
      </c>
      <c r="H88" s="2627" t="s">
        <v>4848</v>
      </c>
      <c r="I88" s="2700"/>
      <c r="J88" s="2633"/>
      <c r="K88" s="1733" t="s">
        <v>2666</v>
      </c>
      <c r="L88" s="2627" t="s">
        <v>4849</v>
      </c>
      <c r="M88" s="2699"/>
      <c r="N88" s="2633"/>
      <c r="O88" s="1721" t="s">
        <v>1700</v>
      </c>
      <c r="Q88" s="2550">
        <v>2053805671</v>
      </c>
      <c r="R88" s="2551"/>
      <c r="S88" s="2552"/>
    </row>
    <row r="89" spans="2:19" s="294" customFormat="1" ht="11.25" customHeight="1">
      <c r="E89" s="1718" t="s">
        <v>1776</v>
      </c>
      <c r="H89" s="2272" t="s">
        <v>826</v>
      </c>
      <c r="K89" s="1053" t="s">
        <v>2201</v>
      </c>
      <c r="L89" s="2677">
        <v>352098314</v>
      </c>
      <c r="M89" s="2802"/>
      <c r="O89" s="1721" t="s">
        <v>1953</v>
      </c>
      <c r="Q89" s="2550"/>
      <c r="R89" s="2551"/>
      <c r="S89" s="2552"/>
    </row>
    <row r="90" spans="2:19" s="294" customFormat="1" ht="11.25" customHeight="1">
      <c r="D90" s="333"/>
      <c r="E90" s="1718" t="s">
        <v>4047</v>
      </c>
      <c r="H90" s="2788">
        <v>2053805671</v>
      </c>
      <c r="I90" s="2789"/>
      <c r="J90" s="2301"/>
      <c r="K90" s="1729" t="s">
        <v>1958</v>
      </c>
      <c r="L90" s="2547" t="s">
        <v>4850</v>
      </c>
      <c r="M90" s="2548"/>
      <c r="N90" s="2642"/>
      <c r="O90" s="2642"/>
      <c r="P90" s="2642"/>
      <c r="Q90" s="2548"/>
      <c r="R90" s="2548"/>
      <c r="S90" s="2549"/>
    </row>
    <row r="91" spans="2:19" ht="6.6" customHeight="1">
      <c r="H91" s="2302"/>
      <c r="I91" s="2302"/>
      <c r="J91" s="2302"/>
      <c r="K91" s="1729"/>
      <c r="L91" s="2302"/>
      <c r="M91" s="2302"/>
      <c r="N91" s="1723"/>
      <c r="O91" s="1711"/>
      <c r="P91" s="1711"/>
      <c r="Q91" s="1729"/>
      <c r="R91" s="1711"/>
      <c r="S91" s="1711"/>
    </row>
    <row r="92" spans="2:19" s="294" customFormat="1" ht="11.25" customHeight="1">
      <c r="B92" s="296" t="s">
        <v>738</v>
      </c>
      <c r="C92" s="296" t="s">
        <v>285</v>
      </c>
      <c r="F92" s="312"/>
      <c r="H92" s="2790" t="s">
        <v>4853</v>
      </c>
      <c r="I92" s="2793"/>
      <c r="J92" s="2793"/>
      <c r="K92" s="2793"/>
      <c r="L92" s="2793"/>
      <c r="M92" s="2793"/>
      <c r="N92" s="2794"/>
      <c r="O92" s="1721" t="s">
        <v>1963</v>
      </c>
      <c r="P92" s="1721"/>
      <c r="Q92" s="2790" t="s">
        <v>4908</v>
      </c>
      <c r="R92" s="2793"/>
      <c r="S92" s="2794"/>
    </row>
    <row r="93" spans="2:19" s="294" customFormat="1" ht="11.25" customHeight="1">
      <c r="D93" s="333"/>
      <c r="E93" s="1718" t="s">
        <v>1008</v>
      </c>
      <c r="F93" s="306"/>
      <c r="H93" s="2627" t="s">
        <v>4854</v>
      </c>
      <c r="I93" s="2699"/>
      <c r="J93" s="2699"/>
      <c r="K93" s="2700"/>
      <c r="L93" s="2699"/>
      <c r="M93" s="2699"/>
      <c r="N93" s="2701"/>
      <c r="O93" s="1721" t="s">
        <v>1726</v>
      </c>
      <c r="Q93" s="2553" t="s">
        <v>4909</v>
      </c>
      <c r="R93" s="2613"/>
      <c r="S93" s="2614"/>
    </row>
    <row r="94" spans="2:19" s="294" customFormat="1" ht="11.25" customHeight="1">
      <c r="D94" s="333"/>
      <c r="E94" s="1718" t="s">
        <v>607</v>
      </c>
      <c r="H94" s="2627" t="s">
        <v>4855</v>
      </c>
      <c r="I94" s="2700"/>
      <c r="J94" s="2633"/>
      <c r="K94" s="1733" t="s">
        <v>2666</v>
      </c>
      <c r="L94" s="2627" t="s">
        <v>4856</v>
      </c>
      <c r="M94" s="2699"/>
      <c r="N94" s="2633"/>
      <c r="O94" s="1721" t="s">
        <v>1700</v>
      </c>
      <c r="Q94" s="2550">
        <v>9014357710</v>
      </c>
      <c r="R94" s="2551"/>
      <c r="S94" s="2552"/>
    </row>
    <row r="95" spans="2:19" s="294" customFormat="1" ht="11.25" customHeight="1">
      <c r="D95" s="333"/>
      <c r="E95" s="1718" t="s">
        <v>1776</v>
      </c>
      <c r="H95" s="2272" t="s">
        <v>1343</v>
      </c>
      <c r="K95" s="1053" t="s">
        <v>2201</v>
      </c>
      <c r="L95" s="2677">
        <v>303382715</v>
      </c>
      <c r="M95" s="2802"/>
      <c r="O95" s="1721" t="s">
        <v>1953</v>
      </c>
      <c r="Q95" s="2550">
        <v>9012705081</v>
      </c>
      <c r="R95" s="2551"/>
      <c r="S95" s="2552"/>
    </row>
    <row r="96" spans="2:19" s="294" customFormat="1" ht="11.25" customHeight="1">
      <c r="D96" s="333"/>
      <c r="E96" s="1718" t="s">
        <v>4047</v>
      </c>
      <c r="H96" s="2788">
        <v>9014357700</v>
      </c>
      <c r="I96" s="2789"/>
      <c r="J96" s="2301"/>
      <c r="K96" s="1729" t="s">
        <v>1958</v>
      </c>
      <c r="L96" s="2547" t="s">
        <v>4910</v>
      </c>
      <c r="M96" s="2548"/>
      <c r="N96" s="2642"/>
      <c r="O96" s="2642"/>
      <c r="P96" s="2642"/>
      <c r="Q96" s="2548"/>
      <c r="R96" s="2548"/>
      <c r="S96" s="2549"/>
    </row>
    <row r="97" spans="2:19" ht="6.6" customHeight="1">
      <c r="H97" s="2302"/>
      <c r="I97" s="2302"/>
      <c r="J97" s="2302"/>
      <c r="K97" s="1729"/>
      <c r="L97" s="2302"/>
      <c r="M97" s="2302"/>
      <c r="N97" s="1723"/>
      <c r="O97" s="1711"/>
      <c r="P97" s="1711"/>
      <c r="Q97" s="1729"/>
      <c r="R97" s="1711"/>
      <c r="S97" s="1711"/>
    </row>
    <row r="98" spans="2:19" s="294" customFormat="1" ht="11.25" customHeight="1">
      <c r="B98" s="296" t="s">
        <v>2088</v>
      </c>
      <c r="C98" s="296" t="s">
        <v>286</v>
      </c>
      <c r="H98" s="2790" t="s">
        <v>4857</v>
      </c>
      <c r="I98" s="2793"/>
      <c r="J98" s="2793"/>
      <c r="K98" s="2793"/>
      <c r="L98" s="2793"/>
      <c r="M98" s="2793"/>
      <c r="N98" s="2794"/>
      <c r="O98" s="1721" t="s">
        <v>1963</v>
      </c>
      <c r="P98" s="1721"/>
      <c r="Q98" s="2790" t="s">
        <v>4861</v>
      </c>
      <c r="R98" s="2793"/>
      <c r="S98" s="2794"/>
    </row>
    <row r="99" spans="2:19" s="294" customFormat="1" ht="11.25" customHeight="1">
      <c r="D99" s="333"/>
      <c r="E99" s="1718" t="s">
        <v>1008</v>
      </c>
      <c r="F99" s="306"/>
      <c r="H99" s="2627" t="s">
        <v>4858</v>
      </c>
      <c r="I99" s="2699"/>
      <c r="J99" s="2699"/>
      <c r="K99" s="2700"/>
      <c r="L99" s="2699"/>
      <c r="M99" s="2699"/>
      <c r="N99" s="2701"/>
      <c r="O99" s="1721" t="s">
        <v>1726</v>
      </c>
      <c r="Q99" s="2553" t="s">
        <v>2442</v>
      </c>
      <c r="R99" s="2613"/>
      <c r="S99" s="2614"/>
    </row>
    <row r="100" spans="2:19" s="294" customFormat="1" ht="11.25" customHeight="1">
      <c r="D100" s="333"/>
      <c r="E100" s="1718" t="s">
        <v>607</v>
      </c>
      <c r="H100" s="2627" t="s">
        <v>4837</v>
      </c>
      <c r="I100" s="2700"/>
      <c r="J100" s="2633"/>
      <c r="K100" s="1733" t="s">
        <v>2666</v>
      </c>
      <c r="L100" s="2627" t="s">
        <v>4859</v>
      </c>
      <c r="M100" s="2699"/>
      <c r="N100" s="2633"/>
      <c r="O100" s="1721" t="s">
        <v>1700</v>
      </c>
      <c r="Q100" s="2550">
        <v>2158259740</v>
      </c>
      <c r="R100" s="2551"/>
      <c r="S100" s="2552"/>
    </row>
    <row r="101" spans="2:19" s="294" customFormat="1" ht="11.25" customHeight="1">
      <c r="D101" s="333"/>
      <c r="E101" s="1718" t="s">
        <v>1776</v>
      </c>
      <c r="H101" s="2272" t="s">
        <v>1339</v>
      </c>
      <c r="K101" s="1053" t="s">
        <v>2201</v>
      </c>
      <c r="L101" s="2677">
        <v>191042590</v>
      </c>
      <c r="M101" s="2802"/>
      <c r="O101" s="1721" t="s">
        <v>1953</v>
      </c>
      <c r="Q101" s="2550"/>
      <c r="R101" s="2551"/>
      <c r="S101" s="2552"/>
    </row>
    <row r="102" spans="2:19" ht="11.25" customHeight="1">
      <c r="E102" s="1718" t="s">
        <v>4047</v>
      </c>
      <c r="F102" s="294"/>
      <c r="G102" s="294"/>
      <c r="H102" s="2788">
        <v>2158259730</v>
      </c>
      <c r="I102" s="2789"/>
      <c r="J102" s="2301"/>
      <c r="K102" s="1729" t="s">
        <v>1958</v>
      </c>
      <c r="L102" s="2547" t="s">
        <v>4860</v>
      </c>
      <c r="M102" s="2548"/>
      <c r="N102" s="2642"/>
      <c r="O102" s="2642"/>
      <c r="P102" s="2642"/>
      <c r="Q102" s="2548"/>
      <c r="R102" s="2548"/>
      <c r="S102" s="2549"/>
    </row>
    <row r="103" spans="2:19" ht="6" customHeight="1">
      <c r="E103" s="1718"/>
      <c r="F103" s="294"/>
      <c r="G103" s="1726"/>
      <c r="H103" s="2302"/>
      <c r="I103" s="2302"/>
      <c r="J103" s="2302"/>
      <c r="K103" s="1729"/>
      <c r="L103" s="2302"/>
      <c r="M103" s="2302"/>
      <c r="N103" s="1723"/>
      <c r="O103" s="1711"/>
      <c r="P103" s="1711"/>
      <c r="Q103" s="1729"/>
      <c r="R103" s="1711"/>
      <c r="S103" s="1711"/>
    </row>
    <row r="104" spans="2:19" s="294" customFormat="1" ht="11.25" customHeight="1">
      <c r="B104" s="296" t="s">
        <v>1714</v>
      </c>
      <c r="C104" s="296" t="s">
        <v>287</v>
      </c>
      <c r="H104" s="2790" t="s">
        <v>4862</v>
      </c>
      <c r="I104" s="2793"/>
      <c r="J104" s="2793"/>
      <c r="K104" s="2793"/>
      <c r="L104" s="2793"/>
      <c r="M104" s="2793"/>
      <c r="N104" s="2794"/>
      <c r="O104" s="1721" t="s">
        <v>1963</v>
      </c>
      <c r="P104" s="1721"/>
      <c r="Q104" s="2790" t="s">
        <v>4867</v>
      </c>
      <c r="R104" s="2793"/>
      <c r="S104" s="2794"/>
    </row>
    <row r="105" spans="2:19" s="294" customFormat="1" ht="11.25" customHeight="1">
      <c r="D105" s="333"/>
      <c r="E105" s="1718" t="s">
        <v>1008</v>
      </c>
      <c r="F105" s="306"/>
      <c r="H105" s="2627" t="s">
        <v>4863</v>
      </c>
      <c r="I105" s="2699"/>
      <c r="J105" s="2699"/>
      <c r="K105" s="2700"/>
      <c r="L105" s="2699"/>
      <c r="M105" s="2699"/>
      <c r="N105" s="2701"/>
      <c r="O105" s="1721" t="s">
        <v>1726</v>
      </c>
      <c r="Q105" s="2553" t="s">
        <v>2442</v>
      </c>
      <c r="R105" s="2613"/>
      <c r="S105" s="2614"/>
    </row>
    <row r="106" spans="2:19" s="294" customFormat="1" ht="11.25" customHeight="1">
      <c r="D106" s="333"/>
      <c r="E106" s="1718" t="s">
        <v>607</v>
      </c>
      <c r="H106" s="2627" t="s">
        <v>4864</v>
      </c>
      <c r="I106" s="2700"/>
      <c r="J106" s="2633"/>
      <c r="K106" s="1733" t="s">
        <v>2666</v>
      </c>
      <c r="L106" s="2627" t="s">
        <v>4865</v>
      </c>
      <c r="M106" s="2699"/>
      <c r="N106" s="2633"/>
      <c r="O106" s="1721" t="s">
        <v>1700</v>
      </c>
      <c r="Q106" s="2550">
        <v>4107834900</v>
      </c>
      <c r="R106" s="2551"/>
      <c r="S106" s="2552"/>
    </row>
    <row r="107" spans="2:19" s="294" customFormat="1" ht="11.25" customHeight="1">
      <c r="D107" s="333"/>
      <c r="E107" s="1718" t="s">
        <v>1776</v>
      </c>
      <c r="H107" s="2272" t="s">
        <v>846</v>
      </c>
      <c r="K107" s="1053" t="s">
        <v>2201</v>
      </c>
      <c r="L107" s="2677">
        <v>212023100</v>
      </c>
      <c r="M107" s="2802"/>
      <c r="O107" s="1721" t="s">
        <v>1953</v>
      </c>
      <c r="Q107" s="2550"/>
      <c r="R107" s="2551"/>
      <c r="S107" s="2552"/>
    </row>
    <row r="108" spans="2:19" ht="11.25" customHeight="1">
      <c r="E108" s="1718" t="s">
        <v>4047</v>
      </c>
      <c r="F108" s="294"/>
      <c r="G108" s="294"/>
      <c r="H108" s="2788">
        <v>4107834900</v>
      </c>
      <c r="I108" s="2789"/>
      <c r="J108" s="2301"/>
      <c r="K108" s="1729" t="s">
        <v>1958</v>
      </c>
      <c r="L108" s="2547" t="s">
        <v>4866</v>
      </c>
      <c r="M108" s="2548"/>
      <c r="N108" s="2642"/>
      <c r="O108" s="2642"/>
      <c r="P108" s="2642"/>
      <c r="Q108" s="2548"/>
      <c r="R108" s="2548"/>
      <c r="S108" s="2549"/>
    </row>
    <row r="109" spans="2:19" ht="6.6" customHeight="1">
      <c r="E109" s="1718"/>
      <c r="F109" s="294"/>
      <c r="G109" s="1726"/>
      <c r="H109" s="2302"/>
      <c r="I109" s="2302"/>
      <c r="J109" s="2302"/>
      <c r="K109" s="1729"/>
      <c r="L109" s="2302"/>
      <c r="M109" s="2302"/>
      <c r="N109" s="1723"/>
      <c r="O109" s="1711"/>
      <c r="P109" s="1711"/>
      <c r="Q109" s="1729"/>
      <c r="R109" s="1711"/>
      <c r="S109" s="1711"/>
    </row>
    <row r="110" spans="2:19" s="294" customFormat="1" ht="11.25" customHeight="1">
      <c r="B110" s="296" t="s">
        <v>1715</v>
      </c>
      <c r="C110" s="296" t="s">
        <v>288</v>
      </c>
      <c r="H110" s="2790" t="s">
        <v>4868</v>
      </c>
      <c r="I110" s="2793"/>
      <c r="J110" s="2793"/>
      <c r="K110" s="2793"/>
      <c r="L110" s="2793"/>
      <c r="M110" s="2793"/>
      <c r="N110" s="2794"/>
      <c r="O110" s="1721" t="s">
        <v>1963</v>
      </c>
      <c r="P110" s="1721"/>
      <c r="Q110" s="2790" t="s">
        <v>4873</v>
      </c>
      <c r="R110" s="2793"/>
      <c r="S110" s="2794"/>
    </row>
    <row r="111" spans="2:19" s="294" customFormat="1" ht="11.25" customHeight="1">
      <c r="D111" s="333"/>
      <c r="E111" s="1718" t="s">
        <v>1008</v>
      </c>
      <c r="F111" s="306"/>
      <c r="H111" s="2627" t="s">
        <v>4869</v>
      </c>
      <c r="I111" s="2699"/>
      <c r="J111" s="2699"/>
      <c r="K111" s="2700"/>
      <c r="L111" s="2699"/>
      <c r="M111" s="2699"/>
      <c r="N111" s="2701"/>
      <c r="O111" s="1721" t="s">
        <v>1726</v>
      </c>
      <c r="Q111" s="2553" t="s">
        <v>2442</v>
      </c>
      <c r="R111" s="2613"/>
      <c r="S111" s="2614"/>
    </row>
    <row r="112" spans="2:19" s="294" customFormat="1" ht="11.25" customHeight="1">
      <c r="D112" s="333"/>
      <c r="E112" s="1718" t="s">
        <v>607</v>
      </c>
      <c r="H112" s="2627" t="s">
        <v>4870</v>
      </c>
      <c r="I112" s="2700"/>
      <c r="J112" s="2633"/>
      <c r="K112" s="1733" t="s">
        <v>2666</v>
      </c>
      <c r="L112" s="2627" t="s">
        <v>4871</v>
      </c>
      <c r="M112" s="2699"/>
      <c r="N112" s="2633"/>
      <c r="O112" s="1721" t="s">
        <v>1700</v>
      </c>
      <c r="Q112" s="2550">
        <v>8565592063</v>
      </c>
      <c r="R112" s="2551"/>
      <c r="S112" s="2552"/>
    </row>
    <row r="113" spans="1:22" s="294" customFormat="1" ht="11.25" customHeight="1">
      <c r="D113" s="337"/>
      <c r="E113" s="1718" t="s">
        <v>1776</v>
      </c>
      <c r="H113" s="2272" t="s">
        <v>1331</v>
      </c>
      <c r="K113" s="1053" t="s">
        <v>2201</v>
      </c>
      <c r="L113" s="2677">
        <v>81083712</v>
      </c>
      <c r="M113" s="2802"/>
      <c r="O113" s="1721" t="s">
        <v>1953</v>
      </c>
      <c r="Q113" s="2550"/>
      <c r="R113" s="2551"/>
      <c r="S113" s="2552"/>
    </row>
    <row r="114" spans="1:22" s="294" customFormat="1" ht="11.25" customHeight="1">
      <c r="D114" s="337"/>
      <c r="E114" s="1718" t="s">
        <v>4047</v>
      </c>
      <c r="H114" s="2788">
        <v>8568541880</v>
      </c>
      <c r="I114" s="2789"/>
      <c r="J114" s="2301"/>
      <c r="K114" s="1729" t="s">
        <v>1958</v>
      </c>
      <c r="L114" s="2547" t="s">
        <v>4872</v>
      </c>
      <c r="M114" s="2548"/>
      <c r="N114" s="2642"/>
      <c r="O114" s="2642"/>
      <c r="P114" s="2642"/>
      <c r="Q114" s="2548"/>
      <c r="R114" s="2548"/>
      <c r="S114" s="2549"/>
    </row>
    <row r="115" spans="1:22" ht="3" customHeight="1"/>
    <row r="116" spans="1:22" s="294" customFormat="1" ht="12" customHeight="1">
      <c r="A116" s="296" t="s">
        <v>1770</v>
      </c>
      <c r="B116" s="296" t="s">
        <v>2569</v>
      </c>
      <c r="F116" s="296"/>
      <c r="G116" s="1729"/>
      <c r="H116" s="1729"/>
      <c r="I116" s="1729"/>
      <c r="J116" s="1729"/>
      <c r="K116" s="1729"/>
      <c r="L116" s="1729"/>
      <c r="M116" s="1729"/>
      <c r="N116" s="1729"/>
      <c r="O116" s="1729"/>
      <c r="P116" s="1729"/>
      <c r="Q116" s="1733"/>
    </row>
    <row r="117" spans="1:22" s="294" customFormat="1" ht="11.25" customHeight="1">
      <c r="B117" s="296" t="s">
        <v>1957</v>
      </c>
      <c r="C117" s="296" t="s">
        <v>3506</v>
      </c>
      <c r="H117" s="2790" t="s">
        <v>4874</v>
      </c>
      <c r="I117" s="2791"/>
      <c r="J117" s="2792"/>
      <c r="K117" s="1729" t="s">
        <v>2442</v>
      </c>
      <c r="L117" s="2790" t="s">
        <v>4875</v>
      </c>
      <c r="M117" s="2793"/>
      <c r="N117" s="2794"/>
      <c r="O117" s="1718" t="s">
        <v>3507</v>
      </c>
      <c r="Q117" s="2795">
        <v>4046274304</v>
      </c>
      <c r="R117" s="2796"/>
      <c r="S117" s="2797"/>
    </row>
    <row r="118" spans="1:22" s="294" customFormat="1" ht="11.25" customHeight="1">
      <c r="D118" s="333"/>
      <c r="E118" s="1718" t="s">
        <v>1008</v>
      </c>
      <c r="F118" s="306"/>
      <c r="H118" s="2615" t="s">
        <v>4884</v>
      </c>
      <c r="I118" s="2798"/>
      <c r="J118" s="2799"/>
      <c r="K118" s="2616"/>
      <c r="L118" s="2798"/>
      <c r="M118" s="2798"/>
      <c r="N118" s="2800"/>
      <c r="O118" s="1718" t="s">
        <v>607</v>
      </c>
      <c r="Q118" s="2801" t="s">
        <v>1190</v>
      </c>
      <c r="R118" s="2619"/>
      <c r="S118" s="2620"/>
    </row>
    <row r="119" spans="1:22" s="294" customFormat="1" ht="11.25" customHeight="1">
      <c r="D119" s="333"/>
      <c r="E119" s="1718" t="s">
        <v>1776</v>
      </c>
      <c r="H119" s="2304" t="s">
        <v>836</v>
      </c>
      <c r="I119" s="1053" t="s">
        <v>2201</v>
      </c>
      <c r="J119" s="2632">
        <v>303150000</v>
      </c>
      <c r="K119" s="2633"/>
      <c r="L119" s="1729" t="s">
        <v>1958</v>
      </c>
      <c r="M119" s="2625" t="s">
        <v>4876</v>
      </c>
      <c r="N119" s="2642"/>
      <c r="O119" s="2642"/>
      <c r="P119" s="2642"/>
      <c r="Q119" s="2548"/>
      <c r="R119" s="2548"/>
      <c r="S119" s="2549"/>
    </row>
    <row r="120" spans="1:22" ht="12" customHeight="1">
      <c r="B120" s="296" t="s">
        <v>1959</v>
      </c>
      <c r="C120" s="296" t="s">
        <v>4677</v>
      </c>
      <c r="H120" s="1608"/>
      <c r="I120" s="1608"/>
      <c r="J120" s="1608"/>
      <c r="K120" s="1608"/>
      <c r="L120" s="1608"/>
      <c r="M120" s="1608"/>
      <c r="N120" s="1608"/>
      <c r="O120" s="1608"/>
      <c r="P120" s="1608"/>
      <c r="Q120" s="1608"/>
      <c r="R120" s="1608"/>
      <c r="S120" s="1608"/>
    </row>
    <row r="121" spans="1:22" ht="11.25" customHeight="1" thickBot="1">
      <c r="A121" s="2782" t="s">
        <v>3748</v>
      </c>
      <c r="B121" s="2782"/>
      <c r="C121" s="2782"/>
      <c r="D121" s="2782"/>
      <c r="E121" s="2783"/>
      <c r="F121" s="2305" t="s">
        <v>2477</v>
      </c>
      <c r="G121" s="2784" t="s">
        <v>3411</v>
      </c>
      <c r="H121" s="2785"/>
      <c r="I121" s="2785"/>
      <c r="J121" s="2785"/>
      <c r="K121" s="2785"/>
      <c r="L121" s="2785"/>
      <c r="M121" s="2785"/>
      <c r="N121" s="2785"/>
      <c r="O121" s="2785"/>
      <c r="P121" s="2785"/>
      <c r="Q121" s="2785"/>
      <c r="R121" s="2785"/>
      <c r="S121" s="2786"/>
    </row>
    <row r="122" spans="1:22" s="294" customFormat="1" ht="25.5" customHeight="1" thickBot="1">
      <c r="B122" s="497"/>
      <c r="C122" s="1090" t="s">
        <v>1960</v>
      </c>
      <c r="D122" s="2753" t="s">
        <v>2783</v>
      </c>
      <c r="E122" s="2753"/>
      <c r="F122" s="2306" t="s">
        <v>2936</v>
      </c>
      <c r="G122" s="2787"/>
      <c r="H122" s="2747"/>
      <c r="I122" s="2747"/>
      <c r="J122" s="2747"/>
      <c r="K122" s="2747"/>
      <c r="L122" s="2747"/>
      <c r="M122" s="2747"/>
      <c r="N122" s="2747"/>
      <c r="O122" s="2747"/>
      <c r="P122" s="2747"/>
      <c r="Q122" s="2747"/>
      <c r="R122" s="2747"/>
      <c r="S122" s="2749"/>
      <c r="U122" s="2803" t="s">
        <v>2005</v>
      </c>
      <c r="V122" s="2803"/>
    </row>
    <row r="123" spans="1:22" s="294" customFormat="1" ht="25.5" customHeight="1" thickBot="1">
      <c r="B123" s="497"/>
      <c r="C123" s="606" t="s">
        <v>1962</v>
      </c>
      <c r="D123" s="2568" t="s">
        <v>2845</v>
      </c>
      <c r="E123" s="2539"/>
      <c r="F123" s="2306" t="s">
        <v>2933</v>
      </c>
      <c r="G123" s="2727" t="s">
        <v>5008</v>
      </c>
      <c r="H123" s="2727"/>
      <c r="I123" s="2727"/>
      <c r="J123" s="2727"/>
      <c r="K123" s="2727"/>
      <c r="L123" s="2727"/>
      <c r="M123" s="2727"/>
      <c r="N123" s="2727"/>
      <c r="O123" s="2727"/>
      <c r="P123" s="2727"/>
      <c r="Q123" s="2727"/>
      <c r="R123" s="2727"/>
      <c r="S123" s="2729"/>
      <c r="U123" s="2803"/>
      <c r="V123" s="2803"/>
    </row>
    <row r="124" spans="1:22" s="294" customFormat="1" ht="25.5" customHeight="1" thickBot="1">
      <c r="B124" s="497"/>
      <c r="C124" s="606" t="s">
        <v>2501</v>
      </c>
      <c r="D124" s="2568" t="s">
        <v>2823</v>
      </c>
      <c r="E124" s="2539"/>
      <c r="F124" s="2306" t="s">
        <v>2936</v>
      </c>
      <c r="G124" s="2727"/>
      <c r="H124" s="2727"/>
      <c r="I124" s="2727"/>
      <c r="J124" s="2727"/>
      <c r="K124" s="2727"/>
      <c r="L124" s="2727"/>
      <c r="M124" s="2727"/>
      <c r="N124" s="2727"/>
      <c r="O124" s="2727"/>
      <c r="P124" s="2727"/>
      <c r="Q124" s="2727"/>
      <c r="R124" s="2727"/>
      <c r="S124" s="2729"/>
      <c r="U124" s="2803"/>
      <c r="V124" s="2803"/>
    </row>
    <row r="125" spans="1:22" s="294" customFormat="1" ht="25.5" customHeight="1" thickBot="1">
      <c r="B125" s="497"/>
      <c r="C125" s="606" t="s">
        <v>1209</v>
      </c>
      <c r="D125" s="2568" t="s">
        <v>2784</v>
      </c>
      <c r="E125" s="2539"/>
      <c r="F125" s="2306" t="s">
        <v>2936</v>
      </c>
      <c r="G125" s="2727"/>
      <c r="H125" s="2727"/>
      <c r="I125" s="2727"/>
      <c r="J125" s="2727"/>
      <c r="K125" s="2727"/>
      <c r="L125" s="2727"/>
      <c r="M125" s="2727"/>
      <c r="N125" s="2727"/>
      <c r="O125" s="2727"/>
      <c r="P125" s="2727"/>
      <c r="Q125" s="2727"/>
      <c r="R125" s="2727"/>
      <c r="S125" s="2729"/>
      <c r="U125" s="2803"/>
      <c r="V125" s="2803"/>
    </row>
    <row r="126" spans="1:22" s="294" customFormat="1" ht="25.5" customHeight="1" thickBot="1">
      <c r="B126" s="497"/>
      <c r="C126" s="606" t="s">
        <v>1210</v>
      </c>
      <c r="D126" s="2568" t="s">
        <v>3399</v>
      </c>
      <c r="E126" s="2539"/>
      <c r="F126" s="2306" t="s">
        <v>2936</v>
      </c>
      <c r="G126" s="2727"/>
      <c r="H126" s="2727"/>
      <c r="I126" s="2727"/>
      <c r="J126" s="2727"/>
      <c r="K126" s="2727"/>
      <c r="L126" s="2727"/>
      <c r="M126" s="2727"/>
      <c r="N126" s="2727"/>
      <c r="O126" s="2727"/>
      <c r="P126" s="2727"/>
      <c r="Q126" s="2727"/>
      <c r="R126" s="2727"/>
      <c r="S126" s="2729"/>
      <c r="U126" s="2803"/>
      <c r="V126" s="2803"/>
    </row>
    <row r="127" spans="1:22" s="294" customFormat="1" ht="25.5" customHeight="1" thickBot="1">
      <c r="B127" s="497"/>
      <c r="C127" s="606" t="s">
        <v>1855</v>
      </c>
      <c r="D127" s="2568" t="s">
        <v>3400</v>
      </c>
      <c r="E127" s="2539"/>
      <c r="F127" s="2306" t="s">
        <v>2936</v>
      </c>
      <c r="G127" s="2727"/>
      <c r="H127" s="2727"/>
      <c r="I127" s="2727"/>
      <c r="J127" s="2727"/>
      <c r="K127" s="2727"/>
      <c r="L127" s="2727"/>
      <c r="M127" s="2727"/>
      <c r="N127" s="2727"/>
      <c r="O127" s="2727"/>
      <c r="P127" s="2727"/>
      <c r="Q127" s="2727"/>
      <c r="R127" s="2727"/>
      <c r="S127" s="2729"/>
      <c r="U127" s="2803"/>
      <c r="V127" s="2803"/>
    </row>
    <row r="128" spans="1:22" s="294" customFormat="1" ht="25.5" customHeight="1" thickBot="1">
      <c r="B128" s="497"/>
      <c r="C128" s="606" t="s">
        <v>498</v>
      </c>
      <c r="D128" s="2568" t="s">
        <v>2785</v>
      </c>
      <c r="E128" s="2539"/>
      <c r="F128" s="2306" t="s">
        <v>2936</v>
      </c>
      <c r="G128" s="2727"/>
      <c r="H128" s="2727"/>
      <c r="I128" s="2727"/>
      <c r="J128" s="2727"/>
      <c r="K128" s="2727"/>
      <c r="L128" s="2727"/>
      <c r="M128" s="2727"/>
      <c r="N128" s="2727"/>
      <c r="O128" s="2727"/>
      <c r="P128" s="2727"/>
      <c r="Q128" s="2727"/>
      <c r="R128" s="2727"/>
      <c r="S128" s="2729"/>
    </row>
    <row r="129" spans="1:22" s="294" customFormat="1" ht="25.5" customHeight="1" thickBot="1">
      <c r="B129" s="497"/>
      <c r="C129" s="606" t="s">
        <v>499</v>
      </c>
      <c r="D129" s="2568" t="s">
        <v>4698</v>
      </c>
      <c r="E129" s="2539"/>
      <c r="F129" s="2306" t="s">
        <v>2936</v>
      </c>
      <c r="G129" s="2727"/>
      <c r="H129" s="2727"/>
      <c r="I129" s="2727"/>
      <c r="J129" s="2727"/>
      <c r="K129" s="2727"/>
      <c r="L129" s="2727"/>
      <c r="M129" s="2727"/>
      <c r="N129" s="2727"/>
      <c r="O129" s="2727"/>
      <c r="P129" s="2727"/>
      <c r="Q129" s="2727"/>
      <c r="R129" s="2727"/>
      <c r="S129" s="2729"/>
    </row>
    <row r="130" spans="1:22" s="294" customFormat="1" ht="25.5" customHeight="1" thickBot="1">
      <c r="B130" s="497"/>
      <c r="C130" s="606" t="s">
        <v>4697</v>
      </c>
      <c r="D130" s="2750" t="s">
        <v>4877</v>
      </c>
      <c r="E130" s="2751"/>
      <c r="F130" s="2306" t="s">
        <v>2933</v>
      </c>
      <c r="G130" s="2734" t="s">
        <v>4890</v>
      </c>
      <c r="H130" s="2734"/>
      <c r="I130" s="2734"/>
      <c r="J130" s="2734"/>
      <c r="K130" s="2734"/>
      <c r="L130" s="2734"/>
      <c r="M130" s="2734"/>
      <c r="N130" s="2734"/>
      <c r="O130" s="2734"/>
      <c r="P130" s="2734"/>
      <c r="Q130" s="2734"/>
      <c r="R130" s="2734"/>
      <c r="S130" s="2736"/>
    </row>
    <row r="131" spans="1:22" s="294" customFormat="1" ht="13.35" customHeight="1">
      <c r="A131" s="296" t="s">
        <v>1772</v>
      </c>
      <c r="B131" s="296" t="s">
        <v>2792</v>
      </c>
      <c r="F131" s="296"/>
      <c r="G131" s="1729"/>
      <c r="H131" s="1729"/>
      <c r="I131" s="1729"/>
      <c r="J131" s="1729"/>
      <c r="K131" s="1729"/>
      <c r="L131" s="1729"/>
      <c r="M131" s="1729"/>
      <c r="N131" s="1729"/>
      <c r="O131" s="1729"/>
      <c r="P131" s="1729"/>
      <c r="Q131" s="1733"/>
    </row>
    <row r="132" spans="1:22" s="294" customFormat="1" ht="2.25" customHeight="1">
      <c r="A132" s="296"/>
      <c r="B132" s="296"/>
      <c r="F132" s="296"/>
      <c r="G132" s="1729"/>
      <c r="H132" s="1729"/>
      <c r="I132" s="1729"/>
      <c r="J132" s="1729"/>
      <c r="K132" s="1729"/>
      <c r="L132" s="1729"/>
      <c r="M132" s="1729"/>
      <c r="N132" s="1729"/>
      <c r="O132" s="1729"/>
      <c r="P132" s="1729"/>
      <c r="Q132" s="1733"/>
    </row>
    <row r="133" spans="1:22" ht="13.35" customHeight="1">
      <c r="B133" s="296" t="s">
        <v>738</v>
      </c>
      <c r="C133" s="296" t="s">
        <v>4678</v>
      </c>
    </row>
    <row r="134" spans="1:22" s="294" customFormat="1" ht="13.5" customHeight="1">
      <c r="A134" s="2752" t="s">
        <v>629</v>
      </c>
      <c r="B134" s="2753"/>
      <c r="C134" s="2753"/>
      <c r="D134" s="2753"/>
      <c r="E134" s="2757" t="s">
        <v>3383</v>
      </c>
      <c r="F134" s="2758"/>
      <c r="G134" s="2758"/>
      <c r="H134" s="2758"/>
      <c r="I134" s="2759"/>
      <c r="J134" s="2763" t="s">
        <v>3384</v>
      </c>
      <c r="K134" s="2766" t="s">
        <v>2851</v>
      </c>
      <c r="L134" s="2766" t="s">
        <v>2852</v>
      </c>
      <c r="M134" s="2769" t="s">
        <v>3392</v>
      </c>
      <c r="N134" s="2770"/>
      <c r="O134" s="2770"/>
      <c r="P134" s="2770"/>
      <c r="Q134" s="2770"/>
      <c r="R134" s="2770"/>
      <c r="S134" s="2771"/>
    </row>
    <row r="135" spans="1:22" s="294" customFormat="1" ht="13.5" customHeight="1">
      <c r="A135" s="2754"/>
      <c r="B135" s="2539"/>
      <c r="C135" s="2539"/>
      <c r="D135" s="2539"/>
      <c r="E135" s="2760"/>
      <c r="F135" s="2761"/>
      <c r="G135" s="2761"/>
      <c r="H135" s="2761"/>
      <c r="I135" s="2762"/>
      <c r="J135" s="2764"/>
      <c r="K135" s="2767"/>
      <c r="L135" s="2767"/>
      <c r="M135" s="2772"/>
      <c r="N135" s="2773"/>
      <c r="O135" s="2773"/>
      <c r="P135" s="2773"/>
      <c r="Q135" s="2773"/>
      <c r="R135" s="2773"/>
      <c r="S135" s="2774"/>
    </row>
    <row r="136" spans="1:22" s="294" customFormat="1" ht="13.5" customHeight="1">
      <c r="A136" s="2754"/>
      <c r="B136" s="2539"/>
      <c r="C136" s="2539"/>
      <c r="D136" s="2539"/>
      <c r="E136" s="2760"/>
      <c r="F136" s="2761"/>
      <c r="G136" s="2761"/>
      <c r="H136" s="2761"/>
      <c r="I136" s="2762"/>
      <c r="J136" s="2764"/>
      <c r="K136" s="2767"/>
      <c r="L136" s="2767"/>
      <c r="M136" s="2772"/>
      <c r="N136" s="2773"/>
      <c r="O136" s="2773"/>
      <c r="P136" s="2773"/>
      <c r="Q136" s="2773"/>
      <c r="R136" s="2773"/>
      <c r="S136" s="2774"/>
    </row>
    <row r="137" spans="1:22" s="294" customFormat="1" ht="23.25" customHeight="1">
      <c r="A137" s="2754"/>
      <c r="B137" s="2539"/>
      <c r="C137" s="2539"/>
      <c r="D137" s="2539"/>
      <c r="E137" s="2775" t="s">
        <v>3616</v>
      </c>
      <c r="F137" s="2776"/>
      <c r="G137" s="2776"/>
      <c r="H137" s="2777"/>
      <c r="I137" s="607"/>
      <c r="J137" s="2764"/>
      <c r="K137" s="2767"/>
      <c r="L137" s="2767"/>
      <c r="M137" s="2772"/>
      <c r="N137" s="2773"/>
      <c r="O137" s="2773"/>
      <c r="P137" s="2773"/>
      <c r="Q137" s="2773"/>
      <c r="R137" s="2773"/>
      <c r="S137" s="2774"/>
    </row>
    <row r="138" spans="1:22" s="294" customFormat="1" ht="13.5" customHeight="1">
      <c r="A138" s="2755"/>
      <c r="B138" s="2756"/>
      <c r="C138" s="2756"/>
      <c r="D138" s="2756"/>
      <c r="E138" s="2778"/>
      <c r="F138" s="2779"/>
      <c r="G138" s="2779"/>
      <c r="H138" s="2780"/>
      <c r="I138" s="1612" t="s">
        <v>2477</v>
      </c>
      <c r="J138" s="2765"/>
      <c r="K138" s="2768"/>
      <c r="L138" s="2767"/>
      <c r="M138" s="1613" t="s">
        <v>2477</v>
      </c>
      <c r="N138" s="2721" t="s">
        <v>2850</v>
      </c>
      <c r="O138" s="2721"/>
      <c r="P138" s="2721"/>
      <c r="Q138" s="2721"/>
      <c r="R138" s="2721"/>
      <c r="S138" s="2781"/>
    </row>
    <row r="139" spans="1:22" s="294" customFormat="1" ht="24" customHeight="1">
      <c r="A139" s="2743" t="s">
        <v>3378</v>
      </c>
      <c r="B139" s="2744"/>
      <c r="C139" s="2744"/>
      <c r="D139" s="2745"/>
      <c r="E139" s="2746"/>
      <c r="F139" s="2747"/>
      <c r="G139" s="2747"/>
      <c r="H139" s="2747"/>
      <c r="I139" s="2307" t="s">
        <v>2936</v>
      </c>
      <c r="J139" s="2308" t="s">
        <v>2936</v>
      </c>
      <c r="K139" s="2309" t="s">
        <v>4823</v>
      </c>
      <c r="L139" s="2310">
        <v>1E-4</v>
      </c>
      <c r="M139" s="2311" t="s">
        <v>2936</v>
      </c>
      <c r="N139" s="2748"/>
      <c r="O139" s="2747"/>
      <c r="P139" s="2747"/>
      <c r="Q139" s="2747"/>
      <c r="R139" s="2747"/>
      <c r="S139" s="2749"/>
    </row>
    <row r="140" spans="1:22" s="294" customFormat="1" ht="24" customHeight="1">
      <c r="A140" s="2723" t="s">
        <v>3379</v>
      </c>
      <c r="B140" s="2724"/>
      <c r="C140" s="2724"/>
      <c r="D140" s="2725"/>
      <c r="E140" s="2726"/>
      <c r="F140" s="2727"/>
      <c r="G140" s="2727"/>
      <c r="H140" s="2727"/>
      <c r="I140" s="2312"/>
      <c r="J140" s="2313"/>
      <c r="K140" s="2314"/>
      <c r="L140" s="2315"/>
      <c r="M140" s="2316"/>
      <c r="N140" s="2728"/>
      <c r="O140" s="2727"/>
      <c r="P140" s="2727"/>
      <c r="Q140" s="2727"/>
      <c r="R140" s="2727"/>
      <c r="S140" s="2729"/>
      <c r="U140" s="2803" t="s">
        <v>2005</v>
      </c>
      <c r="V140" s="2803"/>
    </row>
    <row r="141" spans="1:22" s="294" customFormat="1" ht="24" customHeight="1">
      <c r="A141" s="2723" t="s">
        <v>3380</v>
      </c>
      <c r="B141" s="2724"/>
      <c r="C141" s="2724"/>
      <c r="D141" s="2725"/>
      <c r="E141" s="2726"/>
      <c r="F141" s="2727"/>
      <c r="G141" s="2727"/>
      <c r="H141" s="2727"/>
      <c r="I141" s="2312"/>
      <c r="J141" s="2313"/>
      <c r="K141" s="2314"/>
      <c r="L141" s="2315"/>
      <c r="M141" s="2316"/>
      <c r="N141" s="2728"/>
      <c r="O141" s="2727"/>
      <c r="P141" s="2727"/>
      <c r="Q141" s="2727"/>
      <c r="R141" s="2727"/>
      <c r="S141" s="2729"/>
      <c r="U141" s="2803"/>
      <c r="V141" s="2803"/>
    </row>
    <row r="142" spans="1:22" s="294" customFormat="1" ht="24" customHeight="1">
      <c r="A142" s="2723" t="s">
        <v>3381</v>
      </c>
      <c r="B142" s="2724"/>
      <c r="C142" s="2724"/>
      <c r="D142" s="2725"/>
      <c r="E142" s="2726"/>
      <c r="F142" s="2727"/>
      <c r="G142" s="2727"/>
      <c r="H142" s="2727"/>
      <c r="I142" s="2312" t="s">
        <v>2936</v>
      </c>
      <c r="J142" s="2313" t="s">
        <v>2936</v>
      </c>
      <c r="K142" s="2314" t="s">
        <v>4823</v>
      </c>
      <c r="L142" s="2315">
        <v>0.9899</v>
      </c>
      <c r="M142" s="2316" t="s">
        <v>2936</v>
      </c>
      <c r="N142" s="2728"/>
      <c r="O142" s="2727"/>
      <c r="P142" s="2727"/>
      <c r="Q142" s="2727"/>
      <c r="R142" s="2727"/>
      <c r="S142" s="2729"/>
      <c r="U142" s="2803"/>
      <c r="V142" s="2803"/>
    </row>
    <row r="143" spans="1:22" s="294" customFormat="1" ht="24" customHeight="1">
      <c r="A143" s="2723" t="s">
        <v>3382</v>
      </c>
      <c r="B143" s="2724"/>
      <c r="C143" s="2724"/>
      <c r="D143" s="2725"/>
      <c r="E143" s="2726"/>
      <c r="F143" s="2727"/>
      <c r="G143" s="2727"/>
      <c r="H143" s="2727"/>
      <c r="I143" s="2312" t="s">
        <v>2936</v>
      </c>
      <c r="J143" s="2313" t="s">
        <v>2936</v>
      </c>
      <c r="K143" s="2314" t="s">
        <v>4823</v>
      </c>
      <c r="L143" s="2315">
        <v>0.01</v>
      </c>
      <c r="M143" s="2316" t="s">
        <v>2936</v>
      </c>
      <c r="N143" s="2728"/>
      <c r="O143" s="2727"/>
      <c r="P143" s="2727"/>
      <c r="Q143" s="2727"/>
      <c r="R143" s="2727"/>
      <c r="S143" s="2729"/>
      <c r="U143" s="2803"/>
      <c r="V143" s="2803"/>
    </row>
    <row r="144" spans="1:22" s="294" customFormat="1" ht="24" customHeight="1">
      <c r="A144" s="2723" t="s">
        <v>2838</v>
      </c>
      <c r="B144" s="2724"/>
      <c r="C144" s="2724"/>
      <c r="D144" s="2725"/>
      <c r="E144" s="2726"/>
      <c r="F144" s="2727"/>
      <c r="G144" s="2727"/>
      <c r="H144" s="2727"/>
      <c r="I144" s="2312"/>
      <c r="J144" s="2313"/>
      <c r="K144" s="2314"/>
      <c r="L144" s="2315"/>
      <c r="M144" s="2316"/>
      <c r="N144" s="2728"/>
      <c r="O144" s="2727"/>
      <c r="P144" s="2727"/>
      <c r="Q144" s="2727"/>
      <c r="R144" s="2727"/>
      <c r="S144" s="2729"/>
      <c r="U144" s="2803"/>
      <c r="V144" s="2803"/>
    </row>
    <row r="145" spans="1:24" s="294" customFormat="1" ht="24" customHeight="1">
      <c r="A145" s="2723" t="s">
        <v>642</v>
      </c>
      <c r="B145" s="2724"/>
      <c r="C145" s="2724"/>
      <c r="D145" s="2725"/>
      <c r="E145" s="2726"/>
      <c r="F145" s="2727"/>
      <c r="G145" s="2727"/>
      <c r="H145" s="2727"/>
      <c r="I145" s="2312" t="s">
        <v>2936</v>
      </c>
      <c r="J145" s="2313" t="s">
        <v>2936</v>
      </c>
      <c r="K145" s="2314" t="s">
        <v>4823</v>
      </c>
      <c r="L145" s="2315"/>
      <c r="M145" s="2316" t="s">
        <v>2936</v>
      </c>
      <c r="N145" s="2728"/>
      <c r="O145" s="2727"/>
      <c r="P145" s="2727"/>
      <c r="Q145" s="2727"/>
      <c r="R145" s="2727"/>
      <c r="S145" s="2729"/>
      <c r="U145" s="2803"/>
      <c r="V145" s="2803"/>
    </row>
    <row r="146" spans="1:24" s="294" customFormat="1" ht="24" customHeight="1">
      <c r="A146" s="2723" t="s">
        <v>2839</v>
      </c>
      <c r="B146" s="2724"/>
      <c r="C146" s="2724"/>
      <c r="D146" s="2725"/>
      <c r="E146" s="2726"/>
      <c r="F146" s="2727"/>
      <c r="G146" s="2727"/>
      <c r="H146" s="2727"/>
      <c r="I146" s="2312" t="s">
        <v>2936</v>
      </c>
      <c r="J146" s="2313" t="s">
        <v>2936</v>
      </c>
      <c r="K146" s="2314" t="s">
        <v>2566</v>
      </c>
      <c r="L146" s="2315"/>
      <c r="M146" s="2316" t="s">
        <v>2936</v>
      </c>
      <c r="N146" s="2728"/>
      <c r="O146" s="2727"/>
      <c r="P146" s="2727"/>
      <c r="Q146" s="2727"/>
      <c r="R146" s="2727"/>
      <c r="S146" s="2729"/>
    </row>
    <row r="147" spans="1:24" s="294" customFormat="1" ht="24" customHeight="1">
      <c r="A147" s="2723" t="s">
        <v>2840</v>
      </c>
      <c r="B147" s="2724"/>
      <c r="C147" s="2724"/>
      <c r="D147" s="2725"/>
      <c r="E147" s="2726"/>
      <c r="F147" s="2727"/>
      <c r="G147" s="2727"/>
      <c r="H147" s="2727"/>
      <c r="I147" s="2312"/>
      <c r="J147" s="2313"/>
      <c r="K147" s="2314"/>
      <c r="L147" s="2315"/>
      <c r="M147" s="2316"/>
      <c r="N147" s="2728"/>
      <c r="O147" s="2727"/>
      <c r="P147" s="2727"/>
      <c r="Q147" s="2727"/>
      <c r="R147" s="2727"/>
      <c r="S147" s="2729"/>
    </row>
    <row r="148" spans="1:24" s="294" customFormat="1" ht="24" customHeight="1">
      <c r="A148" s="2723" t="s">
        <v>2842</v>
      </c>
      <c r="B148" s="2724"/>
      <c r="C148" s="2724"/>
      <c r="D148" s="2725"/>
      <c r="E148" s="2726"/>
      <c r="F148" s="2727"/>
      <c r="G148" s="2727"/>
      <c r="H148" s="2727"/>
      <c r="I148" s="2312"/>
      <c r="J148" s="2313"/>
      <c r="K148" s="2314"/>
      <c r="L148" s="2315"/>
      <c r="M148" s="2316"/>
      <c r="N148" s="2728"/>
      <c r="O148" s="2727"/>
      <c r="P148" s="2727"/>
      <c r="Q148" s="2727"/>
      <c r="R148" s="2727"/>
      <c r="S148" s="2729"/>
    </row>
    <row r="149" spans="1:24" s="294" customFormat="1" ht="24" customHeight="1">
      <c r="A149" s="2723" t="s">
        <v>2841</v>
      </c>
      <c r="B149" s="2724"/>
      <c r="C149" s="2724"/>
      <c r="D149" s="2725"/>
      <c r="E149" s="2726"/>
      <c r="F149" s="2727"/>
      <c r="G149" s="2727"/>
      <c r="H149" s="2727"/>
      <c r="I149" s="2312" t="s">
        <v>2936</v>
      </c>
      <c r="J149" s="2313" t="s">
        <v>2933</v>
      </c>
      <c r="K149" s="2314" t="s">
        <v>4823</v>
      </c>
      <c r="L149" s="2315"/>
      <c r="M149" s="2316" t="s">
        <v>2936</v>
      </c>
      <c r="N149" s="2728"/>
      <c r="O149" s="2727"/>
      <c r="P149" s="2727"/>
      <c r="Q149" s="2727"/>
      <c r="R149" s="2727"/>
      <c r="S149" s="2729"/>
    </row>
    <row r="150" spans="1:24" s="294" customFormat="1" ht="24" customHeight="1">
      <c r="A150" s="2723" t="s">
        <v>1511</v>
      </c>
      <c r="B150" s="2724"/>
      <c r="C150" s="2724"/>
      <c r="D150" s="2725"/>
      <c r="E150" s="2726"/>
      <c r="F150" s="2727"/>
      <c r="G150" s="2727"/>
      <c r="H150" s="2727"/>
      <c r="I150" s="2312" t="s">
        <v>2936</v>
      </c>
      <c r="J150" s="2313" t="s">
        <v>2936</v>
      </c>
      <c r="K150" s="2314" t="s">
        <v>4823</v>
      </c>
      <c r="L150" s="2315"/>
      <c r="M150" s="2316" t="s">
        <v>2936</v>
      </c>
      <c r="N150" s="2728"/>
      <c r="O150" s="2727"/>
      <c r="P150" s="2727"/>
      <c r="Q150" s="2727"/>
      <c r="R150" s="2727"/>
      <c r="S150" s="2729"/>
    </row>
    <row r="151" spans="1:24" s="294" customFormat="1" ht="36" customHeight="1">
      <c r="A151" s="2730" t="s">
        <v>2843</v>
      </c>
      <c r="B151" s="2731"/>
      <c r="C151" s="2731"/>
      <c r="D151" s="2732"/>
      <c r="E151" s="2733"/>
      <c r="F151" s="2734"/>
      <c r="G151" s="2734"/>
      <c r="H151" s="2734"/>
      <c r="I151" s="2317" t="s">
        <v>2936</v>
      </c>
      <c r="J151" s="2318" t="s">
        <v>2936</v>
      </c>
      <c r="K151" s="2319" t="s">
        <v>4823</v>
      </c>
      <c r="L151" s="2320"/>
      <c r="M151" s="2321" t="s">
        <v>2933</v>
      </c>
      <c r="N151" s="2735" t="s">
        <v>4898</v>
      </c>
      <c r="O151" s="2734"/>
      <c r="P151" s="2734"/>
      <c r="Q151" s="2734"/>
      <c r="R151" s="2734"/>
      <c r="S151" s="2736"/>
    </row>
    <row r="152" spans="1:24" s="1726" customFormat="1" ht="12" customHeight="1">
      <c r="G152" s="304"/>
      <c r="H152" s="304"/>
      <c r="I152" s="304"/>
      <c r="J152" s="1729"/>
      <c r="K152" s="319" t="s">
        <v>531</v>
      </c>
      <c r="L152" s="545">
        <f>SUM(L139:S151)</f>
        <v>1</v>
      </c>
      <c r="M152" s="1729"/>
      <c r="P152" s="302"/>
    </row>
    <row r="153" spans="1:24" ht="11.25" customHeight="1">
      <c r="A153" s="321" t="s">
        <v>522</v>
      </c>
      <c r="B153" s="332"/>
      <c r="C153" s="321" t="s">
        <v>562</v>
      </c>
      <c r="N153" s="321" t="s">
        <v>522</v>
      </c>
      <c r="O153" s="321" t="s">
        <v>77</v>
      </c>
    </row>
    <row r="154" spans="1:24" ht="173.4" customHeight="1">
      <c r="A154" s="2737" t="s">
        <v>4897</v>
      </c>
      <c r="B154" s="2738"/>
      <c r="C154" s="2738"/>
      <c r="D154" s="2738"/>
      <c r="E154" s="2738"/>
      <c r="F154" s="2738"/>
      <c r="G154" s="2738"/>
      <c r="H154" s="2738"/>
      <c r="I154" s="2738"/>
      <c r="J154" s="2738"/>
      <c r="K154" s="2738"/>
      <c r="L154" s="2738"/>
      <c r="M154" s="2739"/>
      <c r="N154" s="2740"/>
      <c r="O154" s="2741"/>
      <c r="P154" s="2741"/>
      <c r="Q154" s="2741"/>
      <c r="R154" s="2741"/>
      <c r="S154" s="2742"/>
      <c r="T154" s="2538" t="s">
        <v>2655</v>
      </c>
      <c r="U154" s="2538"/>
      <c r="V154" s="2538"/>
      <c r="W154" s="2538"/>
      <c r="X154" s="2538"/>
    </row>
    <row r="155" spans="1:24" s="294" customFormat="1" ht="12" customHeight="1">
      <c r="A155" s="299"/>
      <c r="B155" s="312"/>
      <c r="C155" s="312"/>
      <c r="D155" s="312"/>
      <c r="E155" s="312"/>
      <c r="F155" s="312"/>
      <c r="G155" s="312"/>
      <c r="H155" s="312"/>
      <c r="I155" s="312"/>
      <c r="J155" s="312"/>
      <c r="K155" s="312"/>
      <c r="L155" s="312"/>
      <c r="M155" s="312"/>
      <c r="N155" s="312"/>
      <c r="O155" s="312"/>
      <c r="T155" s="2538"/>
      <c r="U155" s="2538"/>
      <c r="V155" s="2538"/>
      <c r="W155" s="2538"/>
      <c r="X155" s="2538"/>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322" t="s">
        <v>1776</v>
      </c>
    </row>
    <row r="160" spans="1:24" s="294" customFormat="1" ht="12" customHeight="1">
      <c r="A160" s="333"/>
      <c r="B160" s="312"/>
      <c r="C160" s="312"/>
      <c r="D160" s="312"/>
      <c r="E160" s="312"/>
      <c r="F160" s="312"/>
      <c r="G160" s="312"/>
      <c r="H160" s="312"/>
      <c r="I160" s="312"/>
      <c r="J160" s="312"/>
      <c r="K160" s="312"/>
      <c r="L160" s="312"/>
      <c r="M160" s="312"/>
      <c r="N160" s="312"/>
      <c r="O160" s="312"/>
      <c r="P160" s="2323" t="s">
        <v>826</v>
      </c>
    </row>
    <row r="161" spans="1:16" s="294" customFormat="1" ht="12" customHeight="1">
      <c r="A161" s="333"/>
      <c r="B161" s="312"/>
      <c r="C161" s="312"/>
      <c r="D161" s="312"/>
      <c r="E161" s="312"/>
      <c r="F161" s="312"/>
      <c r="G161" s="312"/>
      <c r="H161" s="312"/>
      <c r="I161" s="312"/>
      <c r="J161" s="312"/>
      <c r="K161" s="312"/>
      <c r="L161" s="312"/>
      <c r="M161" s="312"/>
      <c r="N161" s="312"/>
      <c r="O161" s="312"/>
      <c r="P161" s="2323" t="s">
        <v>827</v>
      </c>
    </row>
    <row r="162" spans="1:16" s="294" customFormat="1" ht="12" customHeight="1">
      <c r="A162" s="333"/>
      <c r="B162" s="312"/>
      <c r="C162" s="312"/>
      <c r="D162" s="312"/>
      <c r="E162" s="312"/>
      <c r="F162" s="312"/>
      <c r="G162" s="312"/>
      <c r="H162" s="312"/>
      <c r="I162" s="312"/>
      <c r="J162" s="312"/>
      <c r="K162" s="312"/>
      <c r="L162" s="312"/>
      <c r="M162" s="312"/>
      <c r="N162" s="312"/>
      <c r="O162" s="312"/>
      <c r="P162" s="2323" t="s">
        <v>828</v>
      </c>
    </row>
    <row r="163" spans="1:16" s="294" customFormat="1" ht="12" customHeight="1">
      <c r="A163" s="480"/>
      <c r="B163" s="312"/>
      <c r="C163" s="312"/>
      <c r="D163" s="312"/>
      <c r="E163" s="312"/>
      <c r="F163" s="312"/>
      <c r="G163" s="312"/>
      <c r="H163" s="312"/>
      <c r="I163" s="312"/>
      <c r="J163" s="312"/>
      <c r="K163" s="312"/>
      <c r="L163" s="312"/>
      <c r="M163" s="312"/>
      <c r="N163" s="312"/>
      <c r="O163" s="312"/>
      <c r="P163" s="2323" t="s">
        <v>829</v>
      </c>
    </row>
    <row r="164" spans="1:16" s="294" customFormat="1" ht="12" customHeight="1">
      <c r="B164" s="312"/>
      <c r="C164" s="312"/>
      <c r="D164" s="312"/>
      <c r="E164" s="312"/>
      <c r="F164" s="312"/>
      <c r="G164" s="312"/>
      <c r="H164" s="312"/>
      <c r="I164" s="312"/>
      <c r="J164" s="312"/>
      <c r="K164" s="312"/>
      <c r="L164" s="312"/>
      <c r="M164" s="312"/>
      <c r="N164" s="312"/>
      <c r="O164" s="312"/>
      <c r="P164" s="2323" t="s">
        <v>830</v>
      </c>
    </row>
    <row r="165" spans="1:16" s="294" customFormat="1" ht="12" customHeight="1">
      <c r="B165" s="312"/>
      <c r="C165" s="312"/>
      <c r="D165" s="312"/>
      <c r="E165" s="312"/>
      <c r="F165" s="312"/>
      <c r="G165" s="312"/>
      <c r="H165" s="312"/>
      <c r="I165" s="312"/>
      <c r="J165" s="312"/>
      <c r="K165" s="312"/>
      <c r="L165" s="312"/>
      <c r="M165" s="312"/>
      <c r="N165" s="312"/>
      <c r="O165" s="312"/>
      <c r="P165" s="2323" t="s">
        <v>831</v>
      </c>
    </row>
    <row r="166" spans="1:16" s="294" customFormat="1" ht="12" customHeight="1">
      <c r="B166" s="312"/>
      <c r="C166" s="312"/>
      <c r="D166" s="312"/>
      <c r="E166" s="312"/>
      <c r="F166" s="312"/>
      <c r="G166" s="312"/>
      <c r="H166" s="312"/>
      <c r="I166" s="312"/>
      <c r="J166" s="312"/>
      <c r="K166" s="312"/>
      <c r="L166" s="312"/>
      <c r="M166" s="312"/>
      <c r="N166" s="312"/>
      <c r="O166" s="312"/>
      <c r="P166" s="2323" t="s">
        <v>832</v>
      </c>
    </row>
    <row r="167" spans="1:16" s="294" customFormat="1" ht="12" customHeight="1">
      <c r="B167" s="312"/>
      <c r="C167" s="312"/>
      <c r="D167" s="312"/>
      <c r="E167" s="312"/>
      <c r="F167" s="312"/>
      <c r="G167" s="312"/>
      <c r="H167" s="312"/>
      <c r="I167" s="312"/>
      <c r="J167" s="312"/>
      <c r="K167" s="312"/>
      <c r="L167" s="312"/>
      <c r="M167" s="312"/>
      <c r="N167" s="312"/>
      <c r="O167" s="312"/>
      <c r="P167" s="2323" t="s">
        <v>833</v>
      </c>
    </row>
    <row r="168" spans="1:16" ht="12" customHeight="1">
      <c r="P168" s="2323" t="s">
        <v>834</v>
      </c>
    </row>
    <row r="169" spans="1:16" ht="12" customHeight="1">
      <c r="A169" s="321"/>
      <c r="P169" s="2323" t="s">
        <v>835</v>
      </c>
    </row>
    <row r="170" spans="1:16" ht="12" customHeight="1">
      <c r="P170" s="2323" t="s">
        <v>836</v>
      </c>
    </row>
    <row r="171" spans="1:16" ht="12" customHeight="1">
      <c r="P171" s="2323" t="s">
        <v>837</v>
      </c>
    </row>
    <row r="172" spans="1:16" ht="12" customHeight="1">
      <c r="P172" s="2323" t="s">
        <v>838</v>
      </c>
    </row>
    <row r="173" spans="1:16" ht="12" customHeight="1">
      <c r="P173" s="2323" t="s">
        <v>839</v>
      </c>
    </row>
    <row r="174" spans="1:16" ht="12" customHeight="1">
      <c r="P174" s="2323" t="s">
        <v>840</v>
      </c>
    </row>
    <row r="175" spans="1:16" ht="12" customHeight="1">
      <c r="P175" s="2323" t="s">
        <v>841</v>
      </c>
    </row>
    <row r="176" spans="1:16" ht="12" customHeight="1">
      <c r="P176" s="2323" t="s">
        <v>842</v>
      </c>
    </row>
    <row r="177" spans="16:16" ht="12" customHeight="1">
      <c r="P177" s="2323" t="s">
        <v>843</v>
      </c>
    </row>
    <row r="178" spans="16:16" ht="12" customHeight="1">
      <c r="P178" s="2323" t="s">
        <v>844</v>
      </c>
    </row>
    <row r="179" spans="16:16" ht="12" customHeight="1">
      <c r="P179" s="2323" t="s">
        <v>845</v>
      </c>
    </row>
    <row r="180" spans="16:16" ht="12" customHeight="1">
      <c r="P180" s="2323" t="s">
        <v>846</v>
      </c>
    </row>
    <row r="181" spans="16:16" ht="12" customHeight="1">
      <c r="P181" s="2323" t="s">
        <v>847</v>
      </c>
    </row>
    <row r="182" spans="16:16" ht="12" customHeight="1">
      <c r="P182" s="2323" t="s">
        <v>848</v>
      </c>
    </row>
    <row r="183" spans="16:16" ht="12" customHeight="1">
      <c r="P183" s="2323" t="s">
        <v>849</v>
      </c>
    </row>
    <row r="184" spans="16:16" ht="12" customHeight="1">
      <c r="P184" s="2323" t="s">
        <v>850</v>
      </c>
    </row>
    <row r="185" spans="16:16" ht="12" customHeight="1">
      <c r="P185" s="2323" t="s">
        <v>1326</v>
      </c>
    </row>
    <row r="186" spans="16:16" ht="12" customHeight="1">
      <c r="P186" s="2323" t="s">
        <v>1327</v>
      </c>
    </row>
    <row r="187" spans="16:16" ht="12" customHeight="1">
      <c r="P187" s="2323" t="s">
        <v>1328</v>
      </c>
    </row>
    <row r="188" spans="16:16" ht="12" customHeight="1">
      <c r="P188" s="2323" t="s">
        <v>1329</v>
      </c>
    </row>
    <row r="189" spans="16:16" ht="12" customHeight="1">
      <c r="P189" s="2323" t="s">
        <v>1330</v>
      </c>
    </row>
    <row r="190" spans="16:16">
      <c r="P190" s="2323" t="s">
        <v>1331</v>
      </c>
    </row>
    <row r="191" spans="16:16" ht="12" customHeight="1">
      <c r="P191" s="2323" t="s">
        <v>1332</v>
      </c>
    </row>
    <row r="192" spans="16:16" ht="12" customHeight="1">
      <c r="P192" s="2323" t="s">
        <v>1333</v>
      </c>
    </row>
    <row r="193" spans="16:16" ht="12" customHeight="1">
      <c r="P193" s="2323" t="s">
        <v>1334</v>
      </c>
    </row>
    <row r="194" spans="16:16" ht="12" customHeight="1">
      <c r="P194" s="2323" t="s">
        <v>1335</v>
      </c>
    </row>
    <row r="195" spans="16:16" ht="12" customHeight="1">
      <c r="P195" s="2323" t="s">
        <v>1336</v>
      </c>
    </row>
    <row r="196" spans="16:16" ht="12" customHeight="1">
      <c r="P196" s="2323" t="s">
        <v>1337</v>
      </c>
    </row>
    <row r="197" spans="16:16" ht="12" customHeight="1">
      <c r="P197" s="2323" t="s">
        <v>1338</v>
      </c>
    </row>
    <row r="198" spans="16:16" ht="12" customHeight="1">
      <c r="P198" s="2323" t="s">
        <v>1339</v>
      </c>
    </row>
    <row r="199" spans="16:16" ht="12" customHeight="1">
      <c r="P199" s="2323" t="s">
        <v>1340</v>
      </c>
    </row>
    <row r="200" spans="16:16" ht="12" customHeight="1">
      <c r="P200" s="2323" t="s">
        <v>1341</v>
      </c>
    </row>
    <row r="201" spans="16:16" ht="12" customHeight="1">
      <c r="P201" s="2323" t="s">
        <v>1342</v>
      </c>
    </row>
    <row r="202" spans="16:16" ht="12" customHeight="1">
      <c r="P202" s="2323" t="s">
        <v>1343</v>
      </c>
    </row>
    <row r="203" spans="16:16" ht="12" customHeight="1">
      <c r="P203" s="2323" t="s">
        <v>1344</v>
      </c>
    </row>
    <row r="204" spans="16:16" ht="12" customHeight="1">
      <c r="P204" s="2323" t="s">
        <v>1345</v>
      </c>
    </row>
    <row r="205" spans="16:16" ht="12" customHeight="1">
      <c r="P205" s="2323" t="s">
        <v>1346</v>
      </c>
    </row>
    <row r="206" spans="16:16" ht="12" customHeight="1">
      <c r="P206" s="2323" t="s">
        <v>1347</v>
      </c>
    </row>
    <row r="207" spans="16:16" ht="12" customHeight="1">
      <c r="P207" s="2323" t="s">
        <v>1348</v>
      </c>
    </row>
    <row r="208" spans="16:16" ht="12" customHeight="1">
      <c r="P208" s="2323" t="s">
        <v>1349</v>
      </c>
    </row>
    <row r="209" spans="16:16" ht="12" customHeight="1">
      <c r="P209" s="2323" t="s">
        <v>1350</v>
      </c>
    </row>
    <row r="210" spans="16:16" ht="12" customHeight="1">
      <c r="P210" s="2323" t="s">
        <v>1351</v>
      </c>
    </row>
  </sheetData>
  <sheetProtection algorithmName="SHA-512" hashValue="H7kHMJyeqnn0/RkfFXpYdHUmFAOPpqIpdQYN/P7dtM98kghv6a9+5zCoawSrd1wLjeqnpQKn+XCpzUVy9fvFgw==" saltValue="u8stQaDHOChXxW3XtHWesA=="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3" zoomScale="120" zoomScaleNormal="120" workbookViewId="0">
      <selection activeCell="A13" sqref="A1:XFD1048576"/>
    </sheetView>
  </sheetViews>
  <sheetFormatPr defaultColWidth="9.109375" defaultRowHeight="13.2"/>
  <cols>
    <col min="1" max="1" width="4.109375" style="339" customWidth="1"/>
    <col min="2" max="17" width="8.109375" style="339" customWidth="1"/>
    <col min="18" max="18" width="3.109375" style="339" customWidth="1"/>
    <col min="19" max="19" width="13.5546875" style="339" customWidth="1"/>
    <col min="20" max="20" width="98.88671875" style="339" customWidth="1"/>
    <col min="21" max="16384" width="9.109375" style="339"/>
  </cols>
  <sheetData>
    <row r="1" spans="1:20" s="269" customFormat="1" ht="14.1" customHeight="1">
      <c r="A1" s="2804" t="str">
        <f>CONCATENATE("PART THREE - SOURCES OF FUNDS","  -  ",'Part I-Project Information'!$O$6," ",'Part I-Project Information'!$F$34,", ",'Part I-Project Information'!$F$38,", ",'Part I-Project Information'!$J$39," County")</f>
        <v>PART THREE - SOURCES OF FUNDS  -  2019-063 Haven at South Atlanta, Atlanta, Fulton County</v>
      </c>
      <c r="B1" s="2805"/>
      <c r="C1" s="2805"/>
      <c r="D1" s="2805"/>
      <c r="E1" s="2805"/>
      <c r="F1" s="2805"/>
      <c r="G1" s="2805"/>
      <c r="H1" s="2805"/>
      <c r="I1" s="2805"/>
      <c r="J1" s="2805"/>
      <c r="K1" s="2805"/>
      <c r="L1" s="2805"/>
      <c r="M1" s="2805"/>
      <c r="N1" s="2805"/>
      <c r="O1" s="2805"/>
      <c r="P1" s="2805"/>
      <c r="Q1" s="2806"/>
      <c r="S1" s="2923" t="str">
        <f>$A$1</f>
        <v>PART THREE - SOURCES OF FUNDS  -  2019-063 Haven at South Atlanta, Atlanta, Fulton County</v>
      </c>
      <c r="T1" s="2923"/>
    </row>
    <row r="2" spans="1:20" ht="17.399999999999999" customHeight="1">
      <c r="A2" s="312"/>
      <c r="B2" s="312"/>
      <c r="C2" s="312"/>
      <c r="D2" s="312"/>
      <c r="E2" s="312"/>
      <c r="F2" s="312"/>
      <c r="G2" s="1289"/>
      <c r="H2" s="1289"/>
      <c r="I2" s="1289"/>
      <c r="J2" s="1289"/>
      <c r="K2" s="1289"/>
      <c r="L2" s="1289"/>
    </row>
    <row r="3" spans="1:20" s="269" customFormat="1" ht="13.35" customHeight="1">
      <c r="A3" s="296" t="s">
        <v>605</v>
      </c>
      <c r="B3" s="304" t="s">
        <v>2458</v>
      </c>
      <c r="C3" s="294"/>
      <c r="D3" s="1726"/>
      <c r="E3" s="1726"/>
      <c r="F3" s="1726"/>
      <c r="G3" s="1726"/>
      <c r="L3" s="2934" t="str">
        <f>'Part I-Project Information'!$B$6</f>
        <v>May 2019</v>
      </c>
      <c r="M3" s="2935"/>
      <c r="N3" s="2935"/>
      <c r="O3" s="2935"/>
      <c r="P3" s="2936"/>
      <c r="S3" s="340" t="str">
        <f>B3</f>
        <v>GOVERNMENT FUNDING SOURCES  (check all that apply)</v>
      </c>
    </row>
    <row r="4" spans="1:20" s="269" customFormat="1" ht="15.75" customHeight="1">
      <c r="A4" s="321"/>
      <c r="B4" s="480"/>
      <c r="C4" s="315"/>
      <c r="D4" s="1726"/>
      <c r="E4" s="1726"/>
      <c r="F4" s="1726"/>
      <c r="G4" s="1726"/>
      <c r="S4" s="2880" t="s">
        <v>2646</v>
      </c>
      <c r="T4" s="2880"/>
    </row>
    <row r="5" spans="1:20" s="269" customFormat="1" ht="16.5" customHeight="1">
      <c r="A5" s="480"/>
      <c r="B5" s="2286" t="s">
        <v>2933</v>
      </c>
      <c r="C5" s="1721" t="s">
        <v>2379</v>
      </c>
      <c r="D5" s="294"/>
      <c r="E5" s="2286" t="s">
        <v>2936</v>
      </c>
      <c r="F5" s="1721" t="s">
        <v>3619</v>
      </c>
      <c r="G5" s="294"/>
      <c r="H5" s="2929"/>
      <c r="I5" s="2930"/>
      <c r="L5" s="2286" t="s">
        <v>2936</v>
      </c>
      <c r="M5" s="1721" t="s">
        <v>1518</v>
      </c>
      <c r="S5" s="2850"/>
      <c r="T5" s="2851"/>
    </row>
    <row r="6" spans="1:20" s="269" customFormat="1" ht="16.5" customHeight="1">
      <c r="A6" s="480"/>
      <c r="B6" s="2259" t="s">
        <v>2936</v>
      </c>
      <c r="C6" s="1721" t="s">
        <v>4672</v>
      </c>
      <c r="D6" s="294"/>
      <c r="E6" s="2271" t="s">
        <v>2936</v>
      </c>
      <c r="F6" s="1721" t="s">
        <v>3620</v>
      </c>
      <c r="H6" s="2931"/>
      <c r="I6" s="2932"/>
      <c r="L6" s="2259" t="s">
        <v>2936</v>
      </c>
      <c r="M6" s="1721" t="s">
        <v>541</v>
      </c>
      <c r="S6" s="2831"/>
      <c r="T6" s="2832"/>
    </row>
    <row r="7" spans="1:20" s="269" customFormat="1" ht="16.5" customHeight="1">
      <c r="A7" s="294"/>
      <c r="B7" s="2259" t="s">
        <v>2936</v>
      </c>
      <c r="C7" s="1721" t="s">
        <v>542</v>
      </c>
      <c r="F7" s="294" t="s">
        <v>4671</v>
      </c>
      <c r="H7" s="2937" t="s">
        <v>3385</v>
      </c>
      <c r="I7" s="2938"/>
      <c r="J7" s="2928"/>
      <c r="L7" s="2259" t="s">
        <v>2936</v>
      </c>
      <c r="M7" s="1718" t="s">
        <v>3529</v>
      </c>
      <c r="S7" s="2831"/>
      <c r="T7" s="2832"/>
    </row>
    <row r="8" spans="1:20" s="269" customFormat="1" ht="16.5" customHeight="1">
      <c r="A8" s="480"/>
      <c r="B8" s="2259" t="s">
        <v>2936</v>
      </c>
      <c r="C8" s="1721" t="s">
        <v>2567</v>
      </c>
      <c r="E8" s="2286" t="s">
        <v>2936</v>
      </c>
      <c r="F8" s="1718" t="s">
        <v>2575</v>
      </c>
      <c r="L8" s="2259" t="s">
        <v>2936</v>
      </c>
      <c r="M8" s="1718" t="s">
        <v>4673</v>
      </c>
      <c r="S8" s="2833"/>
      <c r="T8" s="2834"/>
    </row>
    <row r="9" spans="1:20" s="269" customFormat="1" ht="16.5" customHeight="1">
      <c r="A9" s="480"/>
      <c r="B9" s="2259" t="s">
        <v>2936</v>
      </c>
      <c r="C9" s="1721" t="s">
        <v>2568</v>
      </c>
      <c r="E9" s="2259" t="s">
        <v>2936</v>
      </c>
      <c r="F9" s="1718" t="s">
        <v>3618</v>
      </c>
      <c r="H9" s="2926" t="s">
        <v>3742</v>
      </c>
      <c r="I9" s="2927"/>
      <c r="J9" s="2928"/>
      <c r="L9" s="2259" t="s">
        <v>2936</v>
      </c>
      <c r="M9" s="1721" t="s">
        <v>3581</v>
      </c>
      <c r="S9" s="2850"/>
      <c r="T9" s="2851"/>
    </row>
    <row r="10" spans="1:20" s="269" customFormat="1" ht="16.5" customHeight="1">
      <c r="A10" s="480"/>
      <c r="B10" s="2259" t="s">
        <v>2936</v>
      </c>
      <c r="C10" s="1718" t="s">
        <v>3585</v>
      </c>
      <c r="E10" s="2324" t="s">
        <v>2936</v>
      </c>
      <c r="F10" s="2933" t="s">
        <v>4388</v>
      </c>
      <c r="G10" s="2608"/>
      <c r="H10" s="2608"/>
      <c r="I10" s="2608"/>
      <c r="J10" s="2609"/>
      <c r="L10" s="2259" t="s">
        <v>2936</v>
      </c>
      <c r="M10" s="294" t="s">
        <v>2576</v>
      </c>
      <c r="S10" s="2831"/>
      <c r="T10" s="2832"/>
    </row>
    <row r="11" spans="1:20" s="269" customFormat="1" ht="16.5" customHeight="1">
      <c r="A11" s="480"/>
      <c r="B11" s="2259" t="s">
        <v>2936</v>
      </c>
      <c r="C11" s="294" t="s">
        <v>3753</v>
      </c>
      <c r="F11" s="2918" t="s">
        <v>4389</v>
      </c>
      <c r="G11" s="2919"/>
      <c r="H11" s="2919"/>
      <c r="I11" s="2919"/>
      <c r="J11" s="2920"/>
      <c r="L11" s="2259" t="s">
        <v>2936</v>
      </c>
      <c r="M11" s="294" t="s">
        <v>3621</v>
      </c>
      <c r="S11" s="2831"/>
      <c r="T11" s="2832"/>
    </row>
    <row r="12" spans="1:20" s="269" customFormat="1" ht="16.5" customHeight="1">
      <c r="A12" s="480"/>
      <c r="B12" s="2259" t="s">
        <v>2936</v>
      </c>
      <c r="C12" s="294" t="s">
        <v>2574</v>
      </c>
      <c r="E12" s="2325" t="s">
        <v>2933</v>
      </c>
      <c r="F12" s="2933" t="s">
        <v>4879</v>
      </c>
      <c r="G12" s="2608"/>
      <c r="H12" s="2608"/>
      <c r="I12" s="2608"/>
      <c r="J12" s="2609"/>
      <c r="L12" s="2259" t="s">
        <v>2936</v>
      </c>
      <c r="M12" s="294" t="s">
        <v>2750</v>
      </c>
      <c r="S12" s="2831"/>
      <c r="T12" s="2832"/>
    </row>
    <row r="13" spans="1:20" s="269" customFormat="1" ht="16.5" customHeight="1">
      <c r="A13" s="480"/>
      <c r="B13" s="2259" t="s">
        <v>2936</v>
      </c>
      <c r="C13" s="294" t="s">
        <v>3617</v>
      </c>
      <c r="F13" s="2918" t="s">
        <v>4878</v>
      </c>
      <c r="G13" s="2919"/>
      <c r="H13" s="2919"/>
      <c r="I13" s="2919"/>
      <c r="J13" s="2920"/>
      <c r="L13" s="2259" t="s">
        <v>2936</v>
      </c>
      <c r="M13" s="1718" t="s">
        <v>3752</v>
      </c>
      <c r="S13" s="2833"/>
      <c r="T13" s="2834"/>
    </row>
    <row r="14" spans="1:20" s="269" customFormat="1" ht="16.5" customHeight="1">
      <c r="A14" s="480"/>
      <c r="B14" s="2271" t="s">
        <v>2936</v>
      </c>
      <c r="C14" s="1721" t="s">
        <v>1779</v>
      </c>
      <c r="E14" s="2258" t="s">
        <v>2936</v>
      </c>
      <c r="F14" s="1721" t="s">
        <v>4670</v>
      </c>
      <c r="I14" s="2924"/>
      <c r="J14" s="2925"/>
      <c r="L14" s="2271" t="s">
        <v>2936</v>
      </c>
      <c r="M14" s="289" t="s">
        <v>4675</v>
      </c>
    </row>
    <row r="15" spans="1:20" s="269" customFormat="1" ht="17.100000000000001" customHeight="1">
      <c r="A15" s="480"/>
      <c r="B15" s="269" t="s">
        <v>4674</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729</v>
      </c>
      <c r="B17" s="1720" t="s">
        <v>2316</v>
      </c>
      <c r="C17" s="294"/>
      <c r="D17" s="1726"/>
      <c r="E17" s="294"/>
      <c r="F17" s="294"/>
      <c r="G17" s="294"/>
      <c r="H17" s="269"/>
      <c r="L17" s="294"/>
      <c r="M17" s="1726"/>
      <c r="N17" s="2921"/>
      <c r="O17" s="2921"/>
      <c r="P17" s="294"/>
      <c r="Q17" s="294"/>
      <c r="S17" s="340" t="str">
        <f>B17</f>
        <v>CONSTRUCTION FINANCING</v>
      </c>
    </row>
    <row r="18" spans="1:20" s="340" customFormat="1" ht="5.25" customHeight="1">
      <c r="A18" s="296"/>
      <c r="B18" s="1720"/>
      <c r="C18" s="294"/>
      <c r="K18" s="294"/>
      <c r="L18" s="294"/>
      <c r="M18" s="1726"/>
      <c r="N18" s="1733"/>
      <c r="O18" s="1733"/>
      <c r="P18" s="294"/>
      <c r="Q18" s="294"/>
    </row>
    <row r="19" spans="1:20" s="269" customFormat="1" ht="17.100000000000001" customHeight="1">
      <c r="A19" s="294"/>
      <c r="B19" s="1721" t="s">
        <v>1845</v>
      </c>
      <c r="C19" s="294"/>
      <c r="D19" s="294"/>
      <c r="E19" s="294"/>
      <c r="F19" s="294"/>
      <c r="G19" s="294"/>
      <c r="H19" s="2922" t="s">
        <v>1282</v>
      </c>
      <c r="I19" s="2922"/>
      <c r="J19" s="2922"/>
      <c r="K19" s="2922"/>
      <c r="L19" s="2722" t="s">
        <v>4626</v>
      </c>
      <c r="M19" s="2722"/>
      <c r="N19" s="2722" t="s">
        <v>1489</v>
      </c>
      <c r="O19" s="2722"/>
      <c r="P19" s="2722" t="s">
        <v>1611</v>
      </c>
      <c r="Q19" s="2722"/>
      <c r="S19" s="2880" t="s">
        <v>2646</v>
      </c>
      <c r="T19" s="2880"/>
    </row>
    <row r="20" spans="1:20" s="269" customFormat="1" ht="15.75" customHeight="1">
      <c r="A20" s="294"/>
      <c r="B20" s="2882" t="s">
        <v>1572</v>
      </c>
      <c r="C20" s="2883"/>
      <c r="D20" s="2883"/>
      <c r="E20" s="1732"/>
      <c r="F20" s="1732"/>
      <c r="G20" s="1732"/>
      <c r="H20" s="2845" t="s">
        <v>4892</v>
      </c>
      <c r="I20" s="2846"/>
      <c r="J20" s="2846"/>
      <c r="K20" s="2847"/>
      <c r="L20" s="2907">
        <v>4041894</v>
      </c>
      <c r="M20" s="2908"/>
      <c r="N20" s="2909">
        <v>5.1900000000000002E-2</v>
      </c>
      <c r="O20" s="2910"/>
      <c r="P20" s="2911">
        <v>24</v>
      </c>
      <c r="Q20" s="2912"/>
      <c r="S20" s="2850"/>
      <c r="T20" s="2851"/>
    </row>
    <row r="21" spans="1:20" s="269" customFormat="1" ht="15.75" customHeight="1">
      <c r="A21" s="294"/>
      <c r="B21" s="2852" t="s">
        <v>1573</v>
      </c>
      <c r="C21" s="2853"/>
      <c r="D21" s="2853"/>
      <c r="E21" s="1726"/>
      <c r="F21" s="1726"/>
      <c r="G21" s="1726"/>
      <c r="H21" s="2815" t="s">
        <v>4878</v>
      </c>
      <c r="I21" s="2816"/>
      <c r="J21" s="2816"/>
      <c r="K21" s="2817"/>
      <c r="L21" s="2891">
        <v>1200000</v>
      </c>
      <c r="M21" s="2892"/>
      <c r="N21" s="2939">
        <v>0</v>
      </c>
      <c r="O21" s="2940"/>
      <c r="P21" s="2941">
        <v>24</v>
      </c>
      <c r="Q21" s="2942"/>
      <c r="S21" s="2831"/>
      <c r="T21" s="2832"/>
    </row>
    <row r="22" spans="1:20" s="269" customFormat="1" ht="15.75" customHeight="1">
      <c r="A22" s="294"/>
      <c r="B22" s="2943" t="s">
        <v>1574</v>
      </c>
      <c r="C22" s="2944"/>
      <c r="D22" s="2944"/>
      <c r="E22" s="1736"/>
      <c r="F22" s="1736"/>
      <c r="G22" s="1736"/>
      <c r="H22" s="2821"/>
      <c r="I22" s="2822"/>
      <c r="J22" s="2822"/>
      <c r="K22" s="2823"/>
      <c r="L22" s="2895"/>
      <c r="M22" s="2896"/>
      <c r="N22" s="2903"/>
      <c r="O22" s="2904"/>
      <c r="P22" s="2905"/>
      <c r="Q22" s="2906"/>
      <c r="S22" s="2831"/>
      <c r="T22" s="2832"/>
    </row>
    <row r="23" spans="1:20" s="269" customFormat="1" ht="15.75" customHeight="1">
      <c r="A23" s="294"/>
      <c r="B23" s="2882" t="s">
        <v>2187</v>
      </c>
      <c r="C23" s="2883"/>
      <c r="D23" s="2883"/>
      <c r="E23" s="1726"/>
      <c r="F23" s="1726"/>
      <c r="G23" s="1726"/>
      <c r="H23" s="2913"/>
      <c r="I23" s="2914"/>
      <c r="J23" s="2914"/>
      <c r="K23" s="2915"/>
      <c r="L23" s="2916"/>
      <c r="M23" s="2917"/>
      <c r="N23" s="2893"/>
      <c r="O23" s="2894"/>
      <c r="P23" s="2877"/>
      <c r="Q23" s="2877"/>
      <c r="S23" s="2831"/>
      <c r="T23" s="2832"/>
    </row>
    <row r="24" spans="1:20" s="269" customFormat="1" ht="15.75" customHeight="1">
      <c r="A24" s="294"/>
      <c r="B24" s="2852" t="s">
        <v>789</v>
      </c>
      <c r="C24" s="2853"/>
      <c r="D24" s="2853"/>
      <c r="E24" s="1726"/>
      <c r="H24" s="2815"/>
      <c r="I24" s="2816"/>
      <c r="J24" s="2816"/>
      <c r="K24" s="2817"/>
      <c r="L24" s="2891"/>
      <c r="M24" s="2892"/>
      <c r="N24" s="2893"/>
      <c r="O24" s="2894"/>
      <c r="P24" s="2877"/>
      <c r="Q24" s="2877"/>
      <c r="S24" s="2831"/>
      <c r="T24" s="2832"/>
    </row>
    <row r="25" spans="1:20" s="269" customFormat="1" ht="15.75" customHeight="1">
      <c r="A25" s="294"/>
      <c r="B25" s="2852" t="s">
        <v>630</v>
      </c>
      <c r="C25" s="2853"/>
      <c r="D25" s="2853"/>
      <c r="E25" s="1726"/>
      <c r="H25" s="2815"/>
      <c r="I25" s="2816"/>
      <c r="J25" s="2816"/>
      <c r="K25" s="2817"/>
      <c r="L25" s="2891"/>
      <c r="M25" s="2892"/>
      <c r="N25" s="2893"/>
      <c r="O25" s="2894"/>
      <c r="P25" s="2877"/>
      <c r="Q25" s="2877"/>
      <c r="S25" s="2831"/>
      <c r="T25" s="2832"/>
    </row>
    <row r="26" spans="1:20" s="269" customFormat="1" ht="15.75" customHeight="1">
      <c r="A26" s="294"/>
      <c r="B26" s="2852" t="s">
        <v>790</v>
      </c>
      <c r="C26" s="2853"/>
      <c r="D26" s="2853"/>
      <c r="E26" s="1726"/>
      <c r="H26" s="2815"/>
      <c r="I26" s="2816"/>
      <c r="J26" s="2816"/>
      <c r="K26" s="2817"/>
      <c r="L26" s="2891">
        <f>7552521*0.65</f>
        <v>4909138.6500000004</v>
      </c>
      <c r="M26" s="2892"/>
      <c r="N26" s="294"/>
      <c r="Q26" s="294"/>
      <c r="S26" s="2833"/>
      <c r="T26" s="2834"/>
    </row>
    <row r="27" spans="1:20" s="269" customFormat="1" ht="15.75" customHeight="1">
      <c r="A27" s="294"/>
      <c r="B27" s="2852" t="s">
        <v>791</v>
      </c>
      <c r="C27" s="2853"/>
      <c r="D27" s="2853"/>
      <c r="E27" s="1726"/>
      <c r="H27" s="2815"/>
      <c r="I27" s="2816"/>
      <c r="J27" s="2816"/>
      <c r="K27" s="2817"/>
      <c r="L27" s="2891">
        <f>4720326*0.65</f>
        <v>3068211.9</v>
      </c>
      <c r="M27" s="2892"/>
      <c r="N27" s="294"/>
      <c r="Q27" s="294"/>
      <c r="S27" s="2850"/>
      <c r="T27" s="2851"/>
    </row>
    <row r="28" spans="1:20" s="269" customFormat="1" ht="15.75" customHeight="1">
      <c r="A28" s="294"/>
      <c r="B28" s="1725" t="s">
        <v>239</v>
      </c>
      <c r="C28" s="1726"/>
      <c r="D28" s="2835"/>
      <c r="E28" s="2835"/>
      <c r="F28" s="2835"/>
      <c r="G28" s="2835"/>
      <c r="H28" s="2815"/>
      <c r="I28" s="2816"/>
      <c r="J28" s="2816"/>
      <c r="K28" s="2817"/>
      <c r="L28" s="2891"/>
      <c r="M28" s="2892"/>
      <c r="N28" s="294"/>
      <c r="Q28" s="294"/>
      <c r="S28" s="2831"/>
      <c r="T28" s="2832"/>
    </row>
    <row r="29" spans="1:20" s="269" customFormat="1" ht="15.75" customHeight="1">
      <c r="A29" s="294"/>
      <c r="B29" s="1725" t="s">
        <v>239</v>
      </c>
      <c r="C29" s="1726"/>
      <c r="D29" s="2836"/>
      <c r="E29" s="2836"/>
      <c r="F29" s="2836"/>
      <c r="G29" s="2836"/>
      <c r="H29" s="2815"/>
      <c r="I29" s="2816"/>
      <c r="J29" s="2816"/>
      <c r="K29" s="2817"/>
      <c r="L29" s="2891"/>
      <c r="M29" s="2892"/>
      <c r="N29" s="294"/>
      <c r="S29" s="2831"/>
      <c r="T29" s="2832"/>
    </row>
    <row r="30" spans="1:20" s="269" customFormat="1" ht="15.75" customHeight="1">
      <c r="A30" s="294"/>
      <c r="B30" s="1735" t="s">
        <v>239</v>
      </c>
      <c r="C30" s="1736"/>
      <c r="D30" s="2820"/>
      <c r="E30" s="2820"/>
      <c r="F30" s="2820"/>
      <c r="G30" s="2820"/>
      <c r="H30" s="2821"/>
      <c r="I30" s="2822"/>
      <c r="J30" s="2822"/>
      <c r="K30" s="2823"/>
      <c r="L30" s="2895"/>
      <c r="M30" s="2896"/>
      <c r="N30" s="294"/>
      <c r="S30" s="2831"/>
      <c r="T30" s="2832"/>
    </row>
    <row r="31" spans="1:20" s="269" customFormat="1" ht="16.5" customHeight="1">
      <c r="A31" s="294"/>
      <c r="B31" s="1720" t="s">
        <v>1283</v>
      </c>
      <c r="C31" s="294"/>
      <c r="D31" s="294"/>
      <c r="E31" s="294"/>
      <c r="F31" s="294"/>
      <c r="G31" s="294"/>
      <c r="H31" s="294"/>
      <c r="I31" s="294"/>
      <c r="L31" s="2897">
        <f>SUM(L20:L30)</f>
        <v>13219244.550000001</v>
      </c>
      <c r="M31" s="2898"/>
      <c r="N31" s="312"/>
      <c r="S31" s="2831"/>
      <c r="T31" s="2832"/>
    </row>
    <row r="32" spans="1:20" s="269" customFormat="1" ht="16.5" customHeight="1">
      <c r="A32" s="294"/>
      <c r="B32" s="1721" t="s">
        <v>1284</v>
      </c>
      <c r="C32" s="294"/>
      <c r="D32" s="294"/>
      <c r="E32" s="294"/>
      <c r="F32" s="294"/>
      <c r="G32" s="294"/>
      <c r="H32" s="294"/>
      <c r="I32" s="294"/>
      <c r="L32" s="289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13219245</v>
      </c>
      <c r="M32" s="2900"/>
      <c r="N32" s="850"/>
      <c r="S32" s="2831"/>
      <c r="T32" s="2832"/>
    </row>
    <row r="33" spans="1:20" s="269" customFormat="1" ht="16.5" customHeight="1">
      <c r="A33" s="294"/>
      <c r="B33" s="1718" t="s">
        <v>2130</v>
      </c>
      <c r="C33" s="294"/>
      <c r="D33" s="294"/>
      <c r="E33" s="294"/>
      <c r="F33" s="294"/>
      <c r="G33" s="294"/>
      <c r="H33" s="294"/>
      <c r="I33" s="294"/>
      <c r="L33" s="2901">
        <f>L31-L32</f>
        <v>-0.44999999925494194</v>
      </c>
      <c r="M33" s="2902"/>
      <c r="N33" s="850"/>
      <c r="S33" s="2833"/>
      <c r="T33" s="2834"/>
    </row>
    <row r="34" spans="1:20" ht="9.6" customHeight="1">
      <c r="A34" s="321"/>
      <c r="B34" s="1720"/>
      <c r="C34" s="312"/>
      <c r="D34" s="312"/>
      <c r="E34" s="312"/>
      <c r="F34" s="312"/>
      <c r="G34" s="312"/>
      <c r="H34" s="312"/>
      <c r="I34" s="312"/>
      <c r="J34" s="312"/>
      <c r="K34" s="312"/>
      <c r="L34" s="312"/>
      <c r="M34" s="1729"/>
      <c r="N34" s="1729"/>
    </row>
    <row r="35" spans="1:20" ht="9.6" customHeight="1">
      <c r="A35" s="296" t="s">
        <v>731</v>
      </c>
      <c r="B35" s="1720" t="s">
        <v>788</v>
      </c>
      <c r="C35" s="312"/>
      <c r="D35" s="312"/>
      <c r="E35" s="312"/>
      <c r="F35" s="312"/>
      <c r="G35" s="312"/>
      <c r="H35" s="312"/>
      <c r="I35" s="312"/>
      <c r="J35" s="312"/>
      <c r="K35" s="312"/>
      <c r="L35" s="312"/>
      <c r="M35" s="1729"/>
      <c r="N35" s="1729"/>
      <c r="O35" s="312"/>
      <c r="S35" s="340" t="str">
        <f>B35</f>
        <v>PERMANENT FINANCING</v>
      </c>
    </row>
    <row r="36" spans="1:20" s="269" customFormat="1" ht="13.35" customHeight="1">
      <c r="A36" s="294"/>
      <c r="B36" s="294"/>
      <c r="C36" s="294"/>
      <c r="D36" s="294"/>
      <c r="E36" s="294"/>
      <c r="F36" s="1729"/>
      <c r="G36" s="1729"/>
      <c r="H36" s="2877"/>
      <c r="I36" s="2877"/>
      <c r="K36" s="366" t="s">
        <v>2073</v>
      </c>
      <c r="L36" s="1729" t="s">
        <v>1280</v>
      </c>
      <c r="M36" s="1729" t="s">
        <v>1285</v>
      </c>
      <c r="P36" s="2878" t="s">
        <v>32</v>
      </c>
      <c r="Q36" s="2878"/>
      <c r="S36" s="340"/>
    </row>
    <row r="37" spans="1:20" s="269" customFormat="1" ht="13.35" customHeight="1">
      <c r="A37" s="294"/>
      <c r="B37" s="1734" t="s">
        <v>1845</v>
      </c>
      <c r="C37" s="1736"/>
      <c r="D37" s="1736"/>
      <c r="E37" s="2576" t="s">
        <v>1282</v>
      </c>
      <c r="F37" s="2576"/>
      <c r="G37" s="2576"/>
      <c r="H37" s="2576"/>
      <c r="I37" s="2722" t="s">
        <v>4625</v>
      </c>
      <c r="J37" s="2722"/>
      <c r="K37" s="1723" t="s">
        <v>1782</v>
      </c>
      <c r="L37" s="1723" t="s">
        <v>2186</v>
      </c>
      <c r="M37" s="1723" t="s">
        <v>2186</v>
      </c>
      <c r="N37" s="2722" t="s">
        <v>72</v>
      </c>
      <c r="O37" s="2722"/>
      <c r="P37" s="2879"/>
      <c r="Q37" s="2879"/>
      <c r="S37" s="2880" t="s">
        <v>2646</v>
      </c>
      <c r="T37" s="2880"/>
    </row>
    <row r="38" spans="1:20" s="269" customFormat="1" ht="15.75" customHeight="1">
      <c r="A38" s="294"/>
      <c r="B38" s="2882" t="s">
        <v>2580</v>
      </c>
      <c r="C38" s="2883"/>
      <c r="D38" s="2883"/>
      <c r="E38" s="2845" t="s">
        <v>4892</v>
      </c>
      <c r="F38" s="2846"/>
      <c r="G38" s="2846"/>
      <c r="H38" s="2847"/>
      <c r="I38" s="2839">
        <v>2400000</v>
      </c>
      <c r="J38" s="2840"/>
      <c r="K38" s="2326">
        <v>6.5000000000000002E-2</v>
      </c>
      <c r="L38" s="2270">
        <v>15</v>
      </c>
      <c r="M38" s="2270">
        <v>35</v>
      </c>
      <c r="N38" s="2884" t="s">
        <v>4893</v>
      </c>
      <c r="O38" s="2884"/>
      <c r="P38" s="2841">
        <f>IF(OR(I38&lt;=0,I38=""),"",IF(N38="Cash Flow",0,IF(N38="Amortizing",-PMT(K38/12,M38*12,I38,0,0)*12,"")))</f>
        <v>173996.44355885265</v>
      </c>
      <c r="Q38" s="2841"/>
      <c r="S38" s="2850"/>
      <c r="T38" s="2851"/>
    </row>
    <row r="39" spans="1:20" s="269" customFormat="1" ht="15.75" customHeight="1">
      <c r="A39" s="294"/>
      <c r="B39" s="2852" t="s">
        <v>2581</v>
      </c>
      <c r="C39" s="2853"/>
      <c r="D39" s="2853"/>
      <c r="E39" s="2815" t="s">
        <v>4878</v>
      </c>
      <c r="F39" s="2816"/>
      <c r="G39" s="2816"/>
      <c r="H39" s="2817"/>
      <c r="I39" s="2818">
        <v>1200000</v>
      </c>
      <c r="J39" s="2855"/>
      <c r="K39" s="2327">
        <v>0.01</v>
      </c>
      <c r="L39" s="2259">
        <v>40</v>
      </c>
      <c r="M39" s="2259">
        <v>40</v>
      </c>
      <c r="N39" s="2881" t="s">
        <v>1151</v>
      </c>
      <c r="O39" s="2881"/>
      <c r="P39" s="2876">
        <f>IF(OR(I39&lt;=0,I39=""),"",IF(N39="Cash Flow",0,IF(N39="Amortizing",-PMT(K39/12,M39*12,I39,0,0)*12,"")))</f>
        <v>0</v>
      </c>
      <c r="Q39" s="2876"/>
      <c r="S39" s="2831"/>
      <c r="T39" s="2832"/>
    </row>
    <row r="40" spans="1:20" s="269" customFormat="1" ht="15.75" customHeight="1">
      <c r="A40" s="294"/>
      <c r="B40" s="2852" t="s">
        <v>2582</v>
      </c>
      <c r="C40" s="2853"/>
      <c r="D40" s="2853"/>
      <c r="E40" s="2815"/>
      <c r="F40" s="2816"/>
      <c r="G40" s="2816"/>
      <c r="H40" s="2817"/>
      <c r="I40" s="2818"/>
      <c r="J40" s="2855"/>
      <c r="K40" s="2327"/>
      <c r="L40" s="2259"/>
      <c r="M40" s="2259"/>
      <c r="N40" s="2881"/>
      <c r="O40" s="2881"/>
      <c r="P40" s="2876" t="str">
        <f>IF(OR(I40&lt;=0,I40=""),"",IF(N40="Cash Flow",0,IF(N40="Amortizing",-PMT(K40/12,M40*12,I40,0,0)*12,"")))</f>
        <v/>
      </c>
      <c r="Q40" s="2876"/>
      <c r="S40" s="2831"/>
      <c r="T40" s="2832"/>
    </row>
    <row r="41" spans="1:20" s="269" customFormat="1" ht="15.75" customHeight="1">
      <c r="A41" s="294"/>
      <c r="B41" s="1725" t="s">
        <v>730</v>
      </c>
      <c r="C41" s="2862"/>
      <c r="D41" s="2863"/>
      <c r="E41" s="2815"/>
      <c r="F41" s="2816"/>
      <c r="G41" s="2816"/>
      <c r="H41" s="2817"/>
      <c r="I41" s="2864"/>
      <c r="J41" s="2865"/>
      <c r="K41" s="2328"/>
      <c r="L41" s="2271"/>
      <c r="M41" s="2271"/>
      <c r="N41" s="2867"/>
      <c r="O41" s="2867"/>
      <c r="P41" s="2866" t="str">
        <f>IF(OR(I41&lt;=0,I41=""),"",IF(N41="Cash Flow",0,IF(N41="Amortizing",-PMT(K41/12,M41*12,I41,0,0)*12,"")))</f>
        <v/>
      </c>
      <c r="Q41" s="2866"/>
      <c r="S41" s="2831"/>
      <c r="T41" s="2832"/>
    </row>
    <row r="42" spans="1:20" s="269" customFormat="1" ht="15.75" customHeight="1">
      <c r="A42" s="294"/>
      <c r="B42" s="1725" t="s">
        <v>2705</v>
      </c>
      <c r="C42" s="1726"/>
      <c r="D42" s="1727"/>
      <c r="E42" s="2815"/>
      <c r="F42" s="2816"/>
      <c r="G42" s="2816"/>
      <c r="H42" s="2817"/>
      <c r="I42" s="2818"/>
      <c r="J42" s="2855"/>
      <c r="K42" s="459"/>
      <c r="L42" s="1728"/>
      <c r="M42" s="1728"/>
      <c r="N42" s="2869"/>
      <c r="O42" s="2869"/>
      <c r="P42" s="2868"/>
      <c r="Q42" s="2868"/>
      <c r="S42" s="2831"/>
      <c r="T42" s="2832"/>
    </row>
    <row r="43" spans="1:20" s="269" customFormat="1" ht="15.75" customHeight="1">
      <c r="A43" s="294"/>
      <c r="B43" s="1735" t="s">
        <v>225</v>
      </c>
      <c r="C43" s="1736"/>
      <c r="D43" s="367" t="str">
        <f>IF(OR(I43="",I43=0,'Part IV-A-Uses of Funds'!$G$118="",'Part IV-A-Uses of Funds'!$G$118=0),"",I43/'Part IV-A-Uses of Funds'!$G$118)</f>
        <v/>
      </c>
      <c r="E43" s="2821"/>
      <c r="F43" s="2822"/>
      <c r="G43" s="2822"/>
      <c r="H43" s="2823"/>
      <c r="I43" s="2885"/>
      <c r="J43" s="2886"/>
      <c r="K43" s="2329"/>
      <c r="L43" s="2258"/>
      <c r="M43" s="2258"/>
      <c r="N43" s="2889"/>
      <c r="O43" s="2890"/>
      <c r="P43" s="2887" t="str">
        <f>IF(OR(I43&lt;=0,I43=""),"",IF(N43="Cash Flow",0,IF(N43="Amortizing",-PMT(K43/12,M43*12,I43,0,0)*12,"")))</f>
        <v/>
      </c>
      <c r="Q43" s="2888"/>
      <c r="S43" s="2831"/>
      <c r="T43" s="2832"/>
    </row>
    <row r="44" spans="1:20" s="269" customFormat="1" ht="3" customHeight="1">
      <c r="A44" s="294"/>
      <c r="B44" s="294"/>
      <c r="C44" s="294"/>
      <c r="D44" s="294"/>
      <c r="E44" s="294"/>
      <c r="F44" s="294"/>
      <c r="G44" s="294"/>
      <c r="H44" s="294"/>
      <c r="I44" s="1712"/>
      <c r="J44" s="2330"/>
      <c r="K44" s="1714"/>
      <c r="L44" s="1729"/>
      <c r="M44" s="1729"/>
      <c r="N44" s="1715"/>
      <c r="O44" s="1715"/>
      <c r="P44" s="1729"/>
      <c r="Q44" s="1729"/>
      <c r="S44" s="2831"/>
      <c r="T44" s="2832"/>
    </row>
    <row r="45" spans="1:20" s="269" customFormat="1" ht="14.25" customHeight="1">
      <c r="A45" s="294"/>
      <c r="B45" s="1066" t="s">
        <v>3979</v>
      </c>
      <c r="C45" s="1726"/>
      <c r="E45" s="269" t="s">
        <v>3903</v>
      </c>
      <c r="F45" s="2860" t="str">
        <f>IF(OR($I$43="",$I$43=0,'Part VII-Pro Forma'!$S$35=0,'Part VII-Pro Forma'!$S$35=""),"",VLOOKUP($L$43,'Part VII-Pro Forma'!$Q$20:$S$40,3))</f>
        <v/>
      </c>
      <c r="G45" s="2861"/>
      <c r="H45" s="608" t="s">
        <v>3978</v>
      </c>
      <c r="I45" s="2860" t="str">
        <f>IF(OR($I$43="",$I$43=0,'Part VII-Pro Forma'!$R$35=0,'Part VII-Pro Forma'!$R$35=""),"",VLOOKUP($L$43,'Part VII-Pro Forma'!$Q$20:$S$35,2))</f>
        <v/>
      </c>
      <c r="J45" s="2861"/>
      <c r="K45" s="608" t="s">
        <v>3980</v>
      </c>
      <c r="L45" s="2870" t="str">
        <f>IF(OR($F$45 = 0,$F$45 =""),"",$I$45/$F$45)</f>
        <v/>
      </c>
      <c r="M45" s="2871"/>
      <c r="N45" s="2874" t="s">
        <v>4637</v>
      </c>
      <c r="O45" s="2875"/>
      <c r="P45" s="2872">
        <f>IF(OR($I$60=0,$I$58&gt;$I$59),0,ABS($I$58-$I$59))</f>
        <v>0</v>
      </c>
      <c r="Q45" s="2873"/>
      <c r="S45" s="2831"/>
      <c r="T45" s="2832"/>
    </row>
    <row r="46" spans="1:20" s="269" customFormat="1" ht="3" customHeight="1">
      <c r="A46" s="294"/>
      <c r="B46" s="294"/>
      <c r="C46" s="294"/>
      <c r="D46" s="294"/>
      <c r="E46" s="294"/>
      <c r="F46" s="294"/>
      <c r="G46" s="294"/>
      <c r="H46" s="294"/>
      <c r="I46" s="2331"/>
      <c r="J46" s="2332"/>
      <c r="K46" s="1714"/>
      <c r="L46" s="1729"/>
      <c r="M46" s="1729"/>
      <c r="N46" s="1715"/>
      <c r="O46" s="1715"/>
      <c r="P46" s="1729"/>
      <c r="Q46" s="1729"/>
      <c r="S46" s="2833"/>
      <c r="T46" s="2834"/>
    </row>
    <row r="47" spans="1:20" s="269" customFormat="1" ht="15.75" customHeight="1">
      <c r="A47" s="294"/>
      <c r="B47" s="2842" t="s">
        <v>2187</v>
      </c>
      <c r="C47" s="2843"/>
      <c r="D47" s="2844"/>
      <c r="E47" s="2845"/>
      <c r="F47" s="2846"/>
      <c r="G47" s="2846"/>
      <c r="H47" s="2847"/>
      <c r="I47" s="2848"/>
      <c r="J47" s="2849"/>
      <c r="K47" s="368"/>
      <c r="L47" s="368"/>
      <c r="M47" s="368"/>
      <c r="N47" s="368"/>
      <c r="O47" s="368"/>
      <c r="P47" s="368"/>
      <c r="Q47" s="368"/>
      <c r="S47" s="2850"/>
      <c r="T47" s="2851"/>
    </row>
    <row r="48" spans="1:20" s="269" customFormat="1" ht="15.75" customHeight="1">
      <c r="A48" s="294"/>
      <c r="B48" s="2852" t="s">
        <v>789</v>
      </c>
      <c r="C48" s="2853"/>
      <c r="D48" s="2854"/>
      <c r="E48" s="2815"/>
      <c r="F48" s="2816"/>
      <c r="G48" s="2816"/>
      <c r="H48" s="2817"/>
      <c r="I48" s="2818"/>
      <c r="J48" s="2855"/>
      <c r="L48" s="2856" t="s">
        <v>509</v>
      </c>
      <c r="M48" s="2856"/>
      <c r="N48" s="2857" t="s">
        <v>510</v>
      </c>
      <c r="O48" s="2857"/>
      <c r="P48" s="399" t="s">
        <v>508</v>
      </c>
      <c r="Q48" s="368"/>
      <c r="S48" s="2831"/>
      <c r="T48" s="2832"/>
    </row>
    <row r="49" spans="1:23" s="269" customFormat="1" ht="15.75" customHeight="1">
      <c r="A49" s="294"/>
      <c r="B49" s="2852" t="s">
        <v>790</v>
      </c>
      <c r="C49" s="2853"/>
      <c r="D49" s="2854"/>
      <c r="E49" s="2815"/>
      <c r="F49" s="2816"/>
      <c r="G49" s="2816"/>
      <c r="H49" s="2817"/>
      <c r="I49" s="2818">
        <v>7552521</v>
      </c>
      <c r="J49" s="2818"/>
      <c r="L49" s="2858">
        <f>'Part IV-A-Uses of Funds'!$J$175*10*'Part IV-A-Uses of Funds'!$N$168</f>
        <v>7552520.7999999998</v>
      </c>
      <c r="M49" s="2858"/>
      <c r="N49" s="2859">
        <f>I49-L49</f>
        <v>0.20000000018626451</v>
      </c>
      <c r="O49" s="2859"/>
      <c r="P49" s="400" t="s">
        <v>2527</v>
      </c>
      <c r="Q49" s="368"/>
      <c r="S49" s="2831"/>
      <c r="T49" s="2832"/>
    </row>
    <row r="50" spans="1:23" s="269" customFormat="1" ht="15.75" customHeight="1">
      <c r="A50" s="294"/>
      <c r="B50" s="2852" t="s">
        <v>791</v>
      </c>
      <c r="C50" s="2853"/>
      <c r="D50" s="2854"/>
      <c r="E50" s="2815"/>
      <c r="F50" s="2816"/>
      <c r="G50" s="2816"/>
      <c r="H50" s="2817"/>
      <c r="I50" s="2818">
        <v>4720326</v>
      </c>
      <c r="J50" s="2818"/>
      <c r="L50" s="2858">
        <f>'Part IV-A-Uses of Funds'!$J$175*10*'Part IV-A-Uses of Funds'!$Q$168</f>
        <v>4720325.5</v>
      </c>
      <c r="M50" s="2858"/>
      <c r="N50" s="2859">
        <f>I50-L50</f>
        <v>0.5</v>
      </c>
      <c r="O50" s="2859"/>
      <c r="P50" s="401">
        <f>I49/I59</f>
        <v>0.47581388518392448</v>
      </c>
      <c r="Q50" s="368"/>
      <c r="S50" s="2831"/>
      <c r="T50" s="2832"/>
    </row>
    <row r="51" spans="1:23" s="269" customFormat="1" ht="15.75" customHeight="1">
      <c r="A51" s="294"/>
      <c r="B51" s="2852" t="s">
        <v>1395</v>
      </c>
      <c r="C51" s="2853"/>
      <c r="D51" s="2854"/>
      <c r="E51" s="2815"/>
      <c r="F51" s="2816"/>
      <c r="G51" s="2816"/>
      <c r="H51" s="2817"/>
      <c r="I51" s="2818"/>
      <c r="J51" s="2818"/>
      <c r="P51" s="401">
        <f>I50/I59</f>
        <v>0.29738370186520413</v>
      </c>
      <c r="Q51" s="368"/>
      <c r="S51" s="2833"/>
      <c r="T51" s="2834"/>
    </row>
    <row r="52" spans="1:23" s="269" customFormat="1" ht="15.75" customHeight="1">
      <c r="A52" s="294"/>
      <c r="B52" s="1725" t="s">
        <v>523</v>
      </c>
      <c r="C52" s="1726"/>
      <c r="D52" s="1727"/>
      <c r="E52" s="2815"/>
      <c r="F52" s="2816"/>
      <c r="G52" s="2816"/>
      <c r="H52" s="2817"/>
      <c r="I52" s="2818"/>
      <c r="J52" s="2818"/>
      <c r="K52" s="294"/>
      <c r="P52" s="402">
        <f>SUM(P50:P51)</f>
        <v>0.77319758704912855</v>
      </c>
      <c r="Q52" s="368"/>
      <c r="S52" s="2831"/>
      <c r="T52" s="2832"/>
    </row>
    <row r="53" spans="1:23" s="269" customFormat="1" ht="15.75" customHeight="1">
      <c r="A53" s="294"/>
      <c r="B53" s="1725" t="s">
        <v>1843</v>
      </c>
      <c r="C53" s="1726"/>
      <c r="D53" s="1727"/>
      <c r="E53" s="2815"/>
      <c r="F53" s="2816"/>
      <c r="G53" s="2816"/>
      <c r="H53" s="2817"/>
      <c r="I53" s="2818"/>
      <c r="J53" s="2818"/>
      <c r="N53" s="369"/>
      <c r="O53" s="369"/>
      <c r="P53" s="369"/>
      <c r="Q53" s="368"/>
      <c r="S53" s="2831"/>
      <c r="T53" s="2832"/>
    </row>
    <row r="54" spans="1:23" s="269" customFormat="1" ht="15.75" customHeight="1">
      <c r="A54" s="294"/>
      <c r="B54" s="1725" t="s">
        <v>1844</v>
      </c>
      <c r="C54" s="1726"/>
      <c r="D54" s="1727"/>
      <c r="E54" s="2815"/>
      <c r="F54" s="2816"/>
      <c r="G54" s="2816"/>
      <c r="H54" s="2817"/>
      <c r="I54" s="2818"/>
      <c r="J54" s="2818"/>
      <c r="M54" s="369"/>
      <c r="N54" s="369"/>
      <c r="O54" s="369"/>
      <c r="P54" s="369"/>
      <c r="Q54" s="368"/>
      <c r="S54" s="2831"/>
      <c r="T54" s="2832"/>
    </row>
    <row r="55" spans="1:23" s="269" customFormat="1" ht="15.75" customHeight="1">
      <c r="A55" s="294"/>
      <c r="B55" s="1725" t="s">
        <v>730</v>
      </c>
      <c r="C55" s="2835"/>
      <c r="D55" s="2835"/>
      <c r="E55" s="2815"/>
      <c r="F55" s="2816"/>
      <c r="G55" s="2816"/>
      <c r="H55" s="2817"/>
      <c r="I55" s="2818"/>
      <c r="J55" s="2818"/>
      <c r="M55" s="369"/>
      <c r="N55" s="369"/>
      <c r="O55" s="369"/>
      <c r="P55" s="369"/>
      <c r="Q55" s="368"/>
      <c r="S55" s="2831"/>
      <c r="T55" s="2832"/>
    </row>
    <row r="56" spans="1:23" s="269" customFormat="1" ht="15.75" customHeight="1">
      <c r="A56" s="294"/>
      <c r="B56" s="1725" t="s">
        <v>730</v>
      </c>
      <c r="C56" s="2836"/>
      <c r="D56" s="2836"/>
      <c r="E56" s="2815"/>
      <c r="F56" s="2816"/>
      <c r="G56" s="2816"/>
      <c r="H56" s="2817"/>
      <c r="I56" s="2818"/>
      <c r="J56" s="2818"/>
      <c r="K56" s="294"/>
      <c r="L56" s="370"/>
      <c r="M56" s="369"/>
      <c r="N56" s="369"/>
      <c r="O56" s="369"/>
      <c r="P56" s="369"/>
      <c r="Q56" s="368"/>
      <c r="S56" s="2831"/>
      <c r="T56" s="2832"/>
    </row>
    <row r="57" spans="1:23" s="269" customFormat="1" ht="15.75" customHeight="1">
      <c r="A57" s="294"/>
      <c r="B57" s="1735" t="s">
        <v>730</v>
      </c>
      <c r="C57" s="2820"/>
      <c r="D57" s="2820"/>
      <c r="E57" s="2821"/>
      <c r="F57" s="2822"/>
      <c r="G57" s="2822"/>
      <c r="H57" s="2823"/>
      <c r="I57" s="2824"/>
      <c r="J57" s="2824"/>
      <c r="K57" s="294"/>
      <c r="L57" s="370"/>
      <c r="M57" s="369"/>
      <c r="N57" s="369"/>
      <c r="O57" s="369"/>
      <c r="P57" s="369"/>
      <c r="Q57" s="368"/>
      <c r="S57" s="2831"/>
      <c r="T57" s="2832"/>
    </row>
    <row r="58" spans="1:23" s="269" customFormat="1" ht="14.25" customHeight="1">
      <c r="A58" s="294"/>
      <c r="B58" s="1721" t="s">
        <v>2188</v>
      </c>
      <c r="C58" s="294"/>
      <c r="D58" s="294"/>
      <c r="E58" s="294"/>
      <c r="F58" s="294"/>
      <c r="G58" s="294"/>
      <c r="I58" s="2825">
        <f>SUM(I38:J43)+SUM(I47:J57)</f>
        <v>15872847</v>
      </c>
      <c r="J58" s="2826"/>
      <c r="K58" s="294"/>
      <c r="L58" s="370"/>
      <c r="M58" s="369"/>
      <c r="N58" s="369"/>
      <c r="O58" s="369"/>
      <c r="P58" s="369"/>
      <c r="Q58" s="368"/>
      <c r="S58" s="2831"/>
      <c r="T58" s="2832"/>
    </row>
    <row r="59" spans="1:23" s="269" customFormat="1" ht="14.25" customHeight="1" thickBot="1">
      <c r="A59" s="294"/>
      <c r="B59" s="1721" t="s">
        <v>2189</v>
      </c>
      <c r="C59" s="294"/>
      <c r="D59" s="294"/>
      <c r="E59" s="294"/>
      <c r="F59" s="294"/>
      <c r="G59" s="294"/>
      <c r="I59" s="2827">
        <f>'Part IV-A-Uses of Funds'!$G$132</f>
        <v>15872847</v>
      </c>
      <c r="J59" s="2828"/>
      <c r="K59" s="294"/>
      <c r="L59" s="370"/>
      <c r="M59" s="369"/>
      <c r="N59" s="369"/>
      <c r="O59" s="369"/>
      <c r="P59" s="369"/>
      <c r="Q59" s="368"/>
      <c r="S59" s="2831"/>
      <c r="T59" s="2832"/>
    </row>
    <row r="60" spans="1:23" s="269" customFormat="1" ht="14.25" customHeight="1" thickBot="1">
      <c r="A60" s="294"/>
      <c r="B60" s="1718" t="s">
        <v>1507</v>
      </c>
      <c r="C60" s="294"/>
      <c r="D60" s="294"/>
      <c r="E60" s="294"/>
      <c r="F60" s="294"/>
      <c r="G60" s="294"/>
      <c r="I60" s="2829">
        <f>I58-I59</f>
        <v>0</v>
      </c>
      <c r="J60" s="2830"/>
      <c r="K60" s="294"/>
      <c r="L60" s="370"/>
      <c r="M60" s="369"/>
      <c r="N60" s="369"/>
      <c r="O60" s="369"/>
      <c r="P60" s="369"/>
      <c r="Q60" s="368"/>
      <c r="S60" s="2833"/>
      <c r="T60" s="2834"/>
    </row>
    <row r="61" spans="1:23" s="269" customFormat="1" ht="13.35" customHeight="1">
      <c r="A61" s="294" t="s">
        <v>3401</v>
      </c>
      <c r="B61" s="1718"/>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1770</v>
      </c>
      <c r="B63" s="296" t="s">
        <v>562</v>
      </c>
      <c r="C63" s="312"/>
      <c r="D63" s="312"/>
      <c r="E63" s="312"/>
      <c r="F63" s="312"/>
      <c r="G63" s="312"/>
      <c r="H63" s="312"/>
      <c r="I63" s="312"/>
      <c r="J63" s="312"/>
      <c r="M63" s="296" t="s">
        <v>1770</v>
      </c>
      <c r="N63" s="296" t="s">
        <v>77</v>
      </c>
      <c r="O63" s="312"/>
      <c r="P63" s="312"/>
      <c r="Q63" s="312"/>
    </row>
    <row r="64" spans="1:23" ht="111.75" customHeight="1">
      <c r="A64" s="2838" t="s">
        <v>4911</v>
      </c>
      <c r="B64" s="2838"/>
      <c r="C64" s="2838"/>
      <c r="D64" s="2838"/>
      <c r="E64" s="2838"/>
      <c r="F64" s="2838"/>
      <c r="G64" s="2838"/>
      <c r="H64" s="2838"/>
      <c r="I64" s="2838"/>
      <c r="J64" s="2838"/>
      <c r="K64" s="2838"/>
      <c r="L64" s="2838"/>
      <c r="M64" s="2837"/>
      <c r="N64" s="2837"/>
      <c r="O64" s="2837"/>
      <c r="P64" s="2837"/>
      <c r="Q64" s="2837"/>
      <c r="S64" s="2819" t="s">
        <v>2655</v>
      </c>
      <c r="T64" s="2819"/>
      <c r="U64" s="471"/>
      <c r="V64" s="471"/>
      <c r="W64" s="471"/>
    </row>
    <row r="65" spans="1:23" ht="11.25" customHeight="1">
      <c r="S65" s="471"/>
      <c r="T65" s="471"/>
      <c r="U65" s="471"/>
      <c r="V65" s="471"/>
      <c r="W65" s="471"/>
    </row>
    <row r="66" spans="1:23" ht="12" customHeight="1"/>
    <row r="67" spans="1:23" ht="12" customHeight="1">
      <c r="B67" s="342"/>
    </row>
    <row r="68" spans="1:23" ht="14.4" customHeight="1"/>
    <row r="69" spans="1:23" s="269" customFormat="1" ht="14.4" customHeight="1"/>
    <row r="70" spans="1:23" s="269" customFormat="1" ht="14.4" customHeight="1"/>
    <row r="71" spans="1:23" s="269" customFormat="1" ht="14.4" customHeight="1"/>
    <row r="72" spans="1:23" ht="14.4" customHeight="1"/>
    <row r="73" spans="1:23" s="269" customFormat="1" ht="14.4" customHeight="1">
      <c r="A73" s="343"/>
    </row>
    <row r="74" spans="1:23" s="269" customFormat="1" ht="14.4" customHeight="1">
      <c r="A74" s="343"/>
    </row>
    <row r="75" spans="1:23" s="269" customFormat="1" ht="14.4" customHeight="1"/>
    <row r="76" spans="1:23" s="269" customFormat="1" ht="14.4" customHeight="1">
      <c r="A76" s="343"/>
    </row>
    <row r="77" spans="1:23" s="269" customFormat="1" ht="14.4" customHeight="1">
      <c r="A77" s="1628"/>
    </row>
    <row r="78" spans="1:23" s="269" customFormat="1" ht="14.4" customHeight="1">
      <c r="A78" s="1628"/>
    </row>
    <row r="79" spans="1:23" s="269" customFormat="1" ht="14.4" customHeight="1">
      <c r="A79" s="1629"/>
    </row>
    <row r="80" spans="1:23" s="269" customFormat="1" ht="14.4" customHeight="1">
      <c r="A80" s="1630"/>
    </row>
    <row r="81" spans="1:1" s="269" customFormat="1" ht="14.4" customHeight="1">
      <c r="A81" s="1628"/>
    </row>
    <row r="82" spans="1:1" s="269" customFormat="1" ht="14.4" customHeight="1">
      <c r="A82" s="1628"/>
    </row>
    <row r="83" spans="1:1" s="269" customFormat="1" ht="14.4" customHeight="1">
      <c r="A83" s="1629"/>
    </row>
    <row r="84" spans="1:1" s="269" customFormat="1" ht="14.4" customHeight="1">
      <c r="A84" s="1630"/>
    </row>
    <row r="85" spans="1:1" s="269" customFormat="1" ht="14.4" customHeight="1">
      <c r="A85" s="1628"/>
    </row>
    <row r="86" spans="1:1" s="269" customFormat="1" ht="14.4" customHeight="1">
      <c r="A86" s="341"/>
    </row>
    <row r="87" spans="1:1" s="269" customFormat="1" ht="14.4" customHeight="1">
      <c r="A87" s="344"/>
    </row>
    <row r="88" spans="1:1" s="269" customFormat="1" ht="14.4" customHeight="1">
      <c r="A88" s="344"/>
    </row>
    <row r="89" spans="1:1" s="269" customFormat="1" ht="14.4" customHeight="1">
      <c r="A89" s="344"/>
    </row>
    <row r="90" spans="1:1" s="269" customFormat="1" ht="14.4" customHeight="1">
      <c r="A90" s="344"/>
    </row>
    <row r="91" spans="1:1" s="269" customFormat="1" ht="14.4" customHeight="1"/>
    <row r="92" spans="1:1" s="26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4"/>
      <c r="L99" s="269"/>
      <c r="M99" s="269"/>
      <c r="N99" s="26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ea0D2Sexo12jrBEePaGBwmtdUqCErUoVNrtpmeS+BV3MvZGuOy8KqtfYTbQ9ix1L4dw87cdOuZZxU26Fvn+FNw==" saltValue="3Phd0efT5cJwqkypJJStuA=="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80" priority="6" stopIfTrue="1" operator="equal">
      <formula>"Make a selection FIRST --&gt;"</formula>
    </cfRule>
  </conditionalFormatting>
  <conditionalFormatting sqref="J46">
    <cfRule type="cellIs" dxfId="179" priority="5" operator="equal">
      <formula>"No"</formula>
    </cfRule>
  </conditionalFormatting>
  <conditionalFormatting sqref="J44">
    <cfRule type="cellIs" dxfId="178" priority="4" operator="equal">
      <formula>"No"</formula>
    </cfRule>
  </conditionalFormatting>
  <conditionalFormatting sqref="D43">
    <cfRule type="cellIs" dxfId="177" priority="3" operator="greaterThan">
      <formula>50.000001%</formula>
    </cfRule>
  </conditionalFormatting>
  <conditionalFormatting sqref="P45:Q45">
    <cfRule type="cellIs" dxfId="176"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6" customWidth="1"/>
    <col min="2" max="5" width="16.88671875" style="26" customWidth="1"/>
    <col min="6" max="6" width="4.88671875" style="26" bestFit="1" customWidth="1"/>
    <col min="7" max="7" width="11.109375" style="26" customWidth="1"/>
    <col min="8" max="8" width="12.109375" style="26" bestFit="1" customWidth="1"/>
    <col min="9" max="9" width="12.44140625" style="26" bestFit="1" customWidth="1"/>
    <col min="10" max="10" width="11.88671875" style="26" bestFit="1" customWidth="1"/>
    <col min="11" max="11" width="15.109375" style="26" bestFit="1" customWidth="1"/>
    <col min="12" max="16384" width="8.88671875" style="26"/>
  </cols>
  <sheetData>
    <row r="1" spans="1:17" s="164" customFormat="1" ht="16.350000000000001" customHeight="1">
      <c r="A1" s="2945" t="e">
        <f>CONCATENATE("PART III B: USD 538 LOAN","  -  ",#REF!," ",#REF!,", ",#REF!,", ",#REF!," County")</f>
        <v>#REF!</v>
      </c>
      <c r="B1" s="2946"/>
      <c r="C1" s="2946"/>
      <c r="D1" s="2946"/>
      <c r="E1" s="2946"/>
      <c r="F1" s="2947"/>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954" t="s">
        <v>215</v>
      </c>
      <c r="B3" s="2954"/>
      <c r="C3" s="2954"/>
      <c r="D3" s="2954"/>
      <c r="E3" s="2954"/>
      <c r="F3" s="2954"/>
      <c r="G3" s="193"/>
      <c r="H3" s="193"/>
    </row>
    <row r="4" spans="1:17" s="181" customFormat="1" ht="6" customHeight="1"/>
    <row r="5" spans="1:17">
      <c r="A5" s="32" t="s">
        <v>2226</v>
      </c>
      <c r="B5" s="32"/>
      <c r="C5" s="258"/>
      <c r="D5" s="259">
        <f>IF(C5&gt;1500000,1500000,0)</f>
        <v>0</v>
      </c>
      <c r="E5" s="260">
        <f>IF(C5&gt;1500000,C5-1500000,0)</f>
        <v>0</v>
      </c>
    </row>
    <row r="6" spans="1:17">
      <c r="A6" s="32" t="s">
        <v>2431</v>
      </c>
      <c r="B6" s="215" t="s">
        <v>500</v>
      </c>
      <c r="C6" s="261">
        <v>0</v>
      </c>
      <c r="D6" s="117" t="s">
        <v>501</v>
      </c>
      <c r="E6" s="32"/>
    </row>
    <row r="7" spans="1:17">
      <c r="A7" s="32"/>
      <c r="B7" s="215" t="s">
        <v>2447</v>
      </c>
      <c r="C7" s="262"/>
      <c r="D7" s="117" t="s">
        <v>1644</v>
      </c>
      <c r="E7" s="32"/>
    </row>
    <row r="8" spans="1:17" ht="13.35" customHeight="1">
      <c r="A8" s="32" t="s">
        <v>2435</v>
      </c>
      <c r="B8" s="32"/>
      <c r="C8" s="261">
        <v>0</v>
      </c>
      <c r="D8" s="117" t="s">
        <v>1645</v>
      </c>
      <c r="E8" s="32"/>
    </row>
    <row r="9" spans="1:17">
      <c r="A9" s="32" t="s">
        <v>1370</v>
      </c>
      <c r="B9" s="32"/>
      <c r="C9" s="263"/>
      <c r="D9" s="32"/>
      <c r="E9" s="32"/>
    </row>
    <row r="10" spans="1:17">
      <c r="A10" s="32" t="s">
        <v>1371</v>
      </c>
      <c r="B10" s="32"/>
      <c r="C10" s="263"/>
      <c r="D10" s="32"/>
      <c r="E10" s="32"/>
    </row>
    <row r="11" spans="1:17">
      <c r="A11" s="32" t="s">
        <v>1368</v>
      </c>
      <c r="B11" s="32"/>
      <c r="C11" s="264" t="e">
        <f>PMT(C7/12,C10*12,-C5,0,0)*12</f>
        <v>#NUM!</v>
      </c>
      <c r="D11" s="259" t="e">
        <f>PMT($C$7/12,$C$10*12,-D5,0,0)*12</f>
        <v>#NUM!</v>
      </c>
      <c r="E11" s="259" t="e">
        <f>PMT($C$7/12,$C$10*12,-E5,0,0)*12</f>
        <v>#NUM!</v>
      </c>
    </row>
    <row r="12" spans="1:17">
      <c r="A12" s="32" t="s">
        <v>1369</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2955" t="s">
        <v>126</v>
      </c>
      <c r="B14" s="2955"/>
      <c r="C14" s="2955"/>
      <c r="D14" s="2955"/>
      <c r="E14" s="2955"/>
      <c r="F14" s="2955"/>
      <c r="G14" s="193"/>
      <c r="H14" s="193"/>
    </row>
    <row r="15" spans="1:17" ht="5.4" customHeight="1">
      <c r="A15" s="27"/>
      <c r="E15" s="204"/>
      <c r="F15" s="193"/>
      <c r="G15" s="193"/>
      <c r="H15" s="193"/>
    </row>
    <row r="16" spans="1:17" ht="13.35" customHeight="1">
      <c r="A16" s="206" t="s">
        <v>2448</v>
      </c>
      <c r="B16" s="207" t="s">
        <v>2445</v>
      </c>
      <c r="C16" s="207" t="s">
        <v>2446</v>
      </c>
      <c r="D16" s="2951" t="s">
        <v>2225</v>
      </c>
      <c r="E16" s="2951"/>
      <c r="F16" s="193"/>
      <c r="G16" s="193"/>
      <c r="H16" s="193"/>
    </row>
    <row r="17" spans="1:8" ht="12.6" customHeight="1">
      <c r="A17" s="80">
        <v>1</v>
      </c>
      <c r="B17" s="182">
        <f>IF(A17&gt;$C$9,0,SUM(C64:C75)*($C$6/$C$7))</f>
        <v>0</v>
      </c>
      <c r="C17" s="205">
        <f>IF(A17&gt;C9,0,(E63+K63)*$C$8)</f>
        <v>0</v>
      </c>
      <c r="D17" s="2956">
        <f t="shared" ref="D17:D56" si="0">IF(A17&gt;$C$9,0,$C$11+C17)</f>
        <v>0</v>
      </c>
      <c r="E17" s="2956"/>
      <c r="F17" s="193"/>
      <c r="G17" s="193"/>
      <c r="H17" s="193"/>
    </row>
    <row r="18" spans="1:8" ht="12.6" customHeight="1">
      <c r="A18" s="80">
        <v>2</v>
      </c>
      <c r="B18" s="182">
        <f>IF(A18&gt;C9,0,SUM(C76:C87)*($C$6/$C$7))</f>
        <v>0</v>
      </c>
      <c r="C18" s="212">
        <f>IF(A18&gt;C9,0,(E75+K75)*$C$8)</f>
        <v>0</v>
      </c>
      <c r="D18" s="2948">
        <f t="shared" si="0"/>
        <v>0</v>
      </c>
      <c r="E18" s="2948"/>
      <c r="F18" s="193"/>
      <c r="G18" s="193"/>
      <c r="H18" s="193"/>
    </row>
    <row r="19" spans="1:8" ht="12.6" customHeight="1">
      <c r="A19" s="80">
        <v>3</v>
      </c>
      <c r="B19" s="182">
        <f>IF(A19&gt;C9,0,SUM(C88:C99)*($C$6/$C$7))</f>
        <v>0</v>
      </c>
      <c r="C19" s="205">
        <f>IF(A19&gt;C9,0,(E87+K87)*$C$8)</f>
        <v>0</v>
      </c>
      <c r="D19" s="2948">
        <f t="shared" si="0"/>
        <v>0</v>
      </c>
      <c r="E19" s="2948"/>
      <c r="F19" s="193"/>
      <c r="G19" s="193"/>
      <c r="H19" s="193"/>
    </row>
    <row r="20" spans="1:8" ht="12.6" customHeight="1">
      <c r="A20" s="80">
        <v>4</v>
      </c>
      <c r="B20" s="182">
        <f>IF(A20&gt;C9,0,SUM(C100:C111)*($C$6/$C$7))</f>
        <v>0</v>
      </c>
      <c r="C20" s="205">
        <f>IF(A20&gt;C9,0,(E99+K99)*$C$8)</f>
        <v>0</v>
      </c>
      <c r="D20" s="2948">
        <f t="shared" si="0"/>
        <v>0</v>
      </c>
      <c r="E20" s="2948"/>
      <c r="F20" s="193"/>
      <c r="G20" s="193"/>
      <c r="H20" s="193"/>
    </row>
    <row r="21" spans="1:8" ht="12.6" customHeight="1">
      <c r="A21" s="80">
        <v>5</v>
      </c>
      <c r="B21" s="182">
        <f>IF(A21&gt;C9,0,SUM(C112:C123)*($C$6/$C$7))</f>
        <v>0</v>
      </c>
      <c r="C21" s="205">
        <f>IF(A21&gt;C9,0,(E111+K111)*$C$8)</f>
        <v>0</v>
      </c>
      <c r="D21" s="2949">
        <f t="shared" si="0"/>
        <v>0</v>
      </c>
      <c r="E21" s="2949"/>
      <c r="F21" s="193"/>
      <c r="G21" s="193"/>
      <c r="H21" s="193"/>
    </row>
    <row r="22" spans="1:8" ht="12.6" customHeight="1">
      <c r="A22" s="183">
        <v>6</v>
      </c>
      <c r="B22" s="184">
        <f>IF(A22&gt;C9,0,SUM(C124:C135)*($C$6/$C$7))</f>
        <v>0</v>
      </c>
      <c r="C22" s="209">
        <f>IF(A22&gt;C9,0,(E123+K123)*$C$8)</f>
        <v>0</v>
      </c>
      <c r="D22" s="2948">
        <f t="shared" si="0"/>
        <v>0</v>
      </c>
      <c r="E22" s="2948"/>
      <c r="F22" s="193"/>
      <c r="G22" s="193"/>
      <c r="H22" s="193"/>
    </row>
    <row r="23" spans="1:8" ht="12.6" customHeight="1">
      <c r="A23" s="185">
        <v>7</v>
      </c>
      <c r="B23" s="186">
        <f>IF(A23&gt;C9,0,SUM(C136:C147)*($C$6/$C$7))</f>
        <v>0</v>
      </c>
      <c r="C23" s="187">
        <f>IF(A23&gt;C9,0,(E135+K135)*$C$8)</f>
        <v>0</v>
      </c>
      <c r="D23" s="2948">
        <f t="shared" si="0"/>
        <v>0</v>
      </c>
      <c r="E23" s="2948"/>
      <c r="F23" s="193"/>
      <c r="G23" s="193"/>
      <c r="H23" s="193"/>
    </row>
    <row r="24" spans="1:8" ht="12.6" customHeight="1">
      <c r="A24" s="185">
        <v>8</v>
      </c>
      <c r="B24" s="186">
        <f>IF(A24&gt;C9,0,SUM(C148:C159)*($C$6/$C$7))</f>
        <v>0</v>
      </c>
      <c r="C24" s="187">
        <f>IF(A24&gt;C9,0,(E147+K147)*$C$8)</f>
        <v>0</v>
      </c>
      <c r="D24" s="2948">
        <f t="shared" si="0"/>
        <v>0</v>
      </c>
      <c r="E24" s="2948"/>
      <c r="F24" s="193"/>
      <c r="G24" s="193"/>
      <c r="H24" s="193"/>
    </row>
    <row r="25" spans="1:8" ht="12.6" customHeight="1">
      <c r="A25" s="185">
        <v>9</v>
      </c>
      <c r="B25" s="186">
        <f>IF(A25&gt;C9,0,SUM(C160:C171)*($C$6/$C$7))</f>
        <v>0</v>
      </c>
      <c r="C25" s="187">
        <f>IF(A25&gt;C9,0,(E159+K159)*$C$8)</f>
        <v>0</v>
      </c>
      <c r="D25" s="2948">
        <f t="shared" si="0"/>
        <v>0</v>
      </c>
      <c r="E25" s="2948"/>
      <c r="F25" s="193"/>
      <c r="G25" s="193"/>
      <c r="H25" s="193"/>
    </row>
    <row r="26" spans="1:8" ht="12.6" customHeight="1">
      <c r="A26" s="188">
        <v>10</v>
      </c>
      <c r="B26" s="189">
        <f>IF(A26&gt;C9,0,SUM(C172:C183)*($C$6/$C$7))</f>
        <v>0</v>
      </c>
      <c r="C26" s="208">
        <f>IF(A26&gt;C9,0,(E171+K171)*$C$8)</f>
        <v>0</v>
      </c>
      <c r="D26" s="2949">
        <f t="shared" si="0"/>
        <v>0</v>
      </c>
      <c r="E26" s="2949"/>
      <c r="F26" s="193"/>
      <c r="G26" s="193"/>
      <c r="H26" s="193"/>
    </row>
    <row r="27" spans="1:8" ht="12.6" customHeight="1">
      <c r="A27" s="190">
        <v>11</v>
      </c>
      <c r="B27" s="182">
        <f>IF(A27&gt;C9,0,SUM(C184:C195)*($C$6/$C$7))</f>
        <v>0</v>
      </c>
      <c r="C27" s="205">
        <f>IF(A27&gt;C9,0,(E183+K183)*$C$8)</f>
        <v>0</v>
      </c>
      <c r="D27" s="2948">
        <f t="shared" si="0"/>
        <v>0</v>
      </c>
      <c r="E27" s="2948"/>
      <c r="F27" s="193"/>
      <c r="G27" s="193"/>
      <c r="H27" s="193"/>
    </row>
    <row r="28" spans="1:8" ht="12.6" customHeight="1">
      <c r="A28" s="190">
        <v>12</v>
      </c>
      <c r="B28" s="182">
        <f>IF(A28&gt;C9,0,SUM(C196:C207)*($C$6/$C$7))</f>
        <v>0</v>
      </c>
      <c r="C28" s="205">
        <f>IF(A28&gt;C9,0,(E195+K195)*$C$8)</f>
        <v>0</v>
      </c>
      <c r="D28" s="2948">
        <f t="shared" si="0"/>
        <v>0</v>
      </c>
      <c r="E28" s="2948"/>
      <c r="F28" s="193"/>
      <c r="G28" s="193"/>
      <c r="H28" s="193"/>
    </row>
    <row r="29" spans="1:8" ht="12.6" customHeight="1">
      <c r="A29" s="190">
        <v>13</v>
      </c>
      <c r="B29" s="182">
        <f>IF(A29&gt;C9,0,SUM(C208:C219)*($C$6/$C$7))</f>
        <v>0</v>
      </c>
      <c r="C29" s="205">
        <f>IF(A29&gt;C9,0,(E207+K207)*$C$8)</f>
        <v>0</v>
      </c>
      <c r="D29" s="2948">
        <f t="shared" si="0"/>
        <v>0</v>
      </c>
      <c r="E29" s="2948"/>
      <c r="F29" s="193"/>
      <c r="G29" s="193"/>
      <c r="H29" s="193"/>
    </row>
    <row r="30" spans="1:8" ht="12.6" customHeight="1">
      <c r="A30" s="190">
        <v>14</v>
      </c>
      <c r="B30" s="182">
        <f>IF(A30&gt;C9,0,SUM(C220:C231)*($C$6/$C$7))</f>
        <v>0</v>
      </c>
      <c r="C30" s="205">
        <f>IF(A30&gt;C9,0,(E219+K219)*$C$8)</f>
        <v>0</v>
      </c>
      <c r="D30" s="2948">
        <f t="shared" si="0"/>
        <v>0</v>
      </c>
      <c r="E30" s="2948"/>
      <c r="F30" s="193"/>
      <c r="G30" s="193"/>
      <c r="H30" s="193"/>
    </row>
    <row r="31" spans="1:8" ht="12.6" customHeight="1">
      <c r="A31" s="190">
        <v>15</v>
      </c>
      <c r="B31" s="182">
        <f>IF(A31&gt;C9,0,SUM(C232:C243)*($C$6/$C$7))</f>
        <v>0</v>
      </c>
      <c r="C31" s="205">
        <f>IF(A31&gt;C9,0,(E231+K231)*$C$8)</f>
        <v>0</v>
      </c>
      <c r="D31" s="2949">
        <f t="shared" si="0"/>
        <v>0</v>
      </c>
      <c r="E31" s="2949"/>
      <c r="F31" s="193"/>
      <c r="G31" s="193"/>
      <c r="H31" s="193"/>
    </row>
    <row r="32" spans="1:8" ht="12.6" customHeight="1">
      <c r="A32" s="192">
        <v>16</v>
      </c>
      <c r="B32" s="184">
        <f>IF(A32&gt;C9,0,SUM(C244:C255)*($C$6/$C$7))</f>
        <v>0</v>
      </c>
      <c r="C32" s="209">
        <f>IF(A32&gt;C9,0,(E243+K243)*$C$8)</f>
        <v>0</v>
      </c>
      <c r="D32" s="2948">
        <f t="shared" si="0"/>
        <v>0</v>
      </c>
      <c r="E32" s="2948"/>
      <c r="F32" s="193"/>
      <c r="G32" s="193"/>
      <c r="H32" s="193"/>
    </row>
    <row r="33" spans="1:8" ht="12.6" customHeight="1">
      <c r="A33" s="185">
        <v>17</v>
      </c>
      <c r="B33" s="186">
        <f>IF(A33&gt;C9,0,SUM(C256:C267)*($C$6/$C$7))</f>
        <v>0</v>
      </c>
      <c r="C33" s="187">
        <f>IF(A33&gt;C9,0,(E255+K255)*$C$8)</f>
        <v>0</v>
      </c>
      <c r="D33" s="2948">
        <f t="shared" si="0"/>
        <v>0</v>
      </c>
      <c r="E33" s="2948"/>
      <c r="F33" s="193"/>
      <c r="G33" s="193"/>
      <c r="H33" s="193"/>
    </row>
    <row r="34" spans="1:8" ht="12.6" customHeight="1">
      <c r="A34" s="185">
        <v>18</v>
      </c>
      <c r="B34" s="186">
        <f>IF(A34&gt;C9,0,SUM(C268:C279)*($C$6/$C$7))</f>
        <v>0</v>
      </c>
      <c r="C34" s="187">
        <f>IF(A34&gt;C9,0,(E267+K267)*$C$8)</f>
        <v>0</v>
      </c>
      <c r="D34" s="2948">
        <f t="shared" si="0"/>
        <v>0</v>
      </c>
      <c r="E34" s="2948"/>
      <c r="F34" s="193"/>
      <c r="G34" s="193"/>
      <c r="H34" s="193"/>
    </row>
    <row r="35" spans="1:8" ht="12.6" customHeight="1">
      <c r="A35" s="185">
        <v>19</v>
      </c>
      <c r="B35" s="186">
        <f>IF(A35&gt;C9,0,SUM(C280:C291)*($C$6/$C$7))</f>
        <v>0</v>
      </c>
      <c r="C35" s="187">
        <f>IF(A35&gt;C9,0,(E279+K279)*$C$8)</f>
        <v>0</v>
      </c>
      <c r="D35" s="2948">
        <f t="shared" si="0"/>
        <v>0</v>
      </c>
      <c r="E35" s="2948"/>
      <c r="F35" s="193"/>
      <c r="G35" s="193"/>
      <c r="H35" s="193"/>
    </row>
    <row r="36" spans="1:8" ht="12.6" customHeight="1">
      <c r="A36" s="188">
        <v>20</v>
      </c>
      <c r="B36" s="189">
        <f>IF(A36&gt;C9,0,SUM(C292:C303)*($C$6/$C$7))</f>
        <v>0</v>
      </c>
      <c r="C36" s="208">
        <f>IF(A36&gt;C9,0,(E291+K291)*$C$8)</f>
        <v>0</v>
      </c>
      <c r="D36" s="2949">
        <f t="shared" si="0"/>
        <v>0</v>
      </c>
      <c r="E36" s="2949"/>
      <c r="F36" s="193"/>
      <c r="G36" s="193"/>
      <c r="H36" s="193"/>
    </row>
    <row r="37" spans="1:8" ht="12.6" customHeight="1">
      <c r="A37" s="80">
        <v>21</v>
      </c>
      <c r="B37" s="184">
        <f>IF(A37&gt;C9,0,SUM(C293:C304)*($C$6/$C$7))</f>
        <v>0</v>
      </c>
      <c r="C37" s="209">
        <f>IF(A37&gt;C9,0,(E303+K303)*$C$8)</f>
        <v>0</v>
      </c>
      <c r="D37" s="2950">
        <f t="shared" si="0"/>
        <v>0</v>
      </c>
      <c r="E37" s="2950"/>
      <c r="F37" s="193"/>
      <c r="G37" s="193"/>
      <c r="H37" s="193"/>
    </row>
    <row r="38" spans="1:8" ht="12.6" customHeight="1">
      <c r="A38" s="80">
        <v>22</v>
      </c>
      <c r="B38" s="186">
        <f>IF(A38&gt;C9,0,SUM(C294:C305)*($C$6/$C$7))</f>
        <v>0</v>
      </c>
      <c r="C38" s="187">
        <f>IF(A38&gt;C9,0,(E315+K315)*$C$8)</f>
        <v>0</v>
      </c>
      <c r="D38" s="2948">
        <f t="shared" si="0"/>
        <v>0</v>
      </c>
      <c r="E38" s="2948"/>
      <c r="F38" s="193"/>
      <c r="G38" s="193"/>
      <c r="H38" s="193"/>
    </row>
    <row r="39" spans="1:8" ht="12.6" customHeight="1">
      <c r="A39" s="80">
        <v>23</v>
      </c>
      <c r="B39" s="186">
        <f>IF(A39&gt;C9,0,SUM(C295:C306)*($C$6/$C$7))</f>
        <v>0</v>
      </c>
      <c r="C39" s="187">
        <f>IF(A39&gt;C9,0,(E327+K327)*$C$8)</f>
        <v>0</v>
      </c>
      <c r="D39" s="2948">
        <f t="shared" si="0"/>
        <v>0</v>
      </c>
      <c r="E39" s="2948"/>
      <c r="F39" s="193"/>
      <c r="G39" s="193"/>
      <c r="H39" s="193"/>
    </row>
    <row r="40" spans="1:8" ht="12.6" customHeight="1">
      <c r="A40" s="80">
        <v>24</v>
      </c>
      <c r="B40" s="186">
        <f>IF(A40&gt;C9,0,SUM(C296:C307)*($C$6/$C$7))</f>
        <v>0</v>
      </c>
      <c r="C40" s="187">
        <f>IF(A40&gt;C9,0,(E339+K339)*$C$8)</f>
        <v>0</v>
      </c>
      <c r="D40" s="2948">
        <f t="shared" si="0"/>
        <v>0</v>
      </c>
      <c r="E40" s="2948"/>
      <c r="F40" s="193"/>
      <c r="G40" s="193"/>
      <c r="H40" s="193"/>
    </row>
    <row r="41" spans="1:8" ht="12.6" customHeight="1">
      <c r="A41" s="80">
        <v>25</v>
      </c>
      <c r="B41" s="189">
        <f>IF(A41&gt;C9,0,SUM(C297:C308)*($C$6/$C$7))</f>
        <v>0</v>
      </c>
      <c r="C41" s="208">
        <f>IF(A41&gt;C9,0,(E351+K351)*$C$8)</f>
        <v>0</v>
      </c>
      <c r="D41" s="2949">
        <f t="shared" si="0"/>
        <v>0</v>
      </c>
      <c r="E41" s="2949"/>
      <c r="F41" s="193"/>
      <c r="G41" s="193"/>
      <c r="H41" s="193"/>
    </row>
    <row r="42" spans="1:8" ht="12.6" customHeight="1">
      <c r="A42" s="183">
        <v>26</v>
      </c>
      <c r="B42" s="184">
        <f>IF(A42&gt;C9,0,SUM(C298:C309)*($C$6/$C$7))</f>
        <v>0</v>
      </c>
      <c r="C42" s="209">
        <f>IF(A42&gt;C9,0,(E363+K363)*$C$8)</f>
        <v>0</v>
      </c>
      <c r="D42" s="2950">
        <f t="shared" si="0"/>
        <v>0</v>
      </c>
      <c r="E42" s="2950"/>
      <c r="F42" s="193"/>
      <c r="G42" s="193"/>
      <c r="H42" s="193"/>
    </row>
    <row r="43" spans="1:8" ht="12.6" customHeight="1">
      <c r="A43" s="185">
        <v>27</v>
      </c>
      <c r="B43" s="186">
        <f>IF(A43&gt;C9,0,SUM(C299:C310)*($C$6/$C$7))</f>
        <v>0</v>
      </c>
      <c r="C43" s="187">
        <f>IF(A43&gt;C9,0,(E375+K375)*$C$8)</f>
        <v>0</v>
      </c>
      <c r="D43" s="2948">
        <f t="shared" si="0"/>
        <v>0</v>
      </c>
      <c r="E43" s="2948"/>
      <c r="F43" s="193"/>
      <c r="G43" s="193"/>
      <c r="H43" s="193"/>
    </row>
    <row r="44" spans="1:8" ht="12.6" customHeight="1">
      <c r="A44" s="185">
        <v>28</v>
      </c>
      <c r="B44" s="186">
        <f>IF(A44&gt;C9,0,SUM(C300:C311)*($C$6/$C$7))</f>
        <v>0</v>
      </c>
      <c r="C44" s="187">
        <f>IF(A44&gt;C9,0,(E387+K387)*$C$8)</f>
        <v>0</v>
      </c>
      <c r="D44" s="2948">
        <f t="shared" si="0"/>
        <v>0</v>
      </c>
      <c r="E44" s="2948"/>
      <c r="F44" s="193"/>
      <c r="G44" s="193"/>
      <c r="H44" s="193"/>
    </row>
    <row r="45" spans="1:8" ht="12.6" customHeight="1">
      <c r="A45" s="185">
        <v>29</v>
      </c>
      <c r="B45" s="186">
        <f>IF(A45&gt;C9,0,SUM(C301:C312)*($C$6/$C$7))</f>
        <v>0</v>
      </c>
      <c r="C45" s="187">
        <f>IF(A45&gt;C9,0,(E411+K411)*$C$8)</f>
        <v>0</v>
      </c>
      <c r="D45" s="2948">
        <f t="shared" si="0"/>
        <v>0</v>
      </c>
      <c r="E45" s="2948"/>
      <c r="F45" s="193"/>
      <c r="G45" s="193"/>
      <c r="H45" s="193"/>
    </row>
    <row r="46" spans="1:8" ht="12.6" customHeight="1">
      <c r="A46" s="188">
        <v>30</v>
      </c>
      <c r="B46" s="189">
        <f>IF(A46&gt;C9,0,SUM(C302:C313)*($C$6/$C$7))</f>
        <v>0</v>
      </c>
      <c r="C46" s="208">
        <f>IF(A46&gt;C9,0,(E423+K423)*$C$8)</f>
        <v>0</v>
      </c>
      <c r="D46" s="2949">
        <f t="shared" si="0"/>
        <v>0</v>
      </c>
      <c r="E46" s="2949"/>
      <c r="F46" s="193"/>
      <c r="G46" s="193"/>
      <c r="H46" s="193"/>
    </row>
    <row r="47" spans="1:8" ht="12.6" customHeight="1">
      <c r="A47" s="192">
        <v>31</v>
      </c>
      <c r="B47" s="184">
        <f>IF(A47&gt;C9,0,SUM(C303:C314)*($C$6/$C$7))</f>
        <v>0</v>
      </c>
      <c r="C47" s="209">
        <f>IF(A47&gt;C9,0,(E435+K435)*$C$8)</f>
        <v>0</v>
      </c>
      <c r="D47" s="2950">
        <f t="shared" si="0"/>
        <v>0</v>
      </c>
      <c r="E47" s="2950"/>
      <c r="F47" s="193"/>
      <c r="G47" s="193"/>
      <c r="H47" s="193"/>
    </row>
    <row r="48" spans="1:8" ht="12.6" customHeight="1">
      <c r="A48" s="185">
        <v>32</v>
      </c>
      <c r="B48" s="186">
        <f>IF(A48&gt;C9,0,SUM(C304:C315)*($C$6/$C$7))</f>
        <v>0</v>
      </c>
      <c r="C48" s="187">
        <f>IF(A48&gt;C9,0,(E447+K447)*$C$8)</f>
        <v>0</v>
      </c>
      <c r="D48" s="2948">
        <f t="shared" si="0"/>
        <v>0</v>
      </c>
      <c r="E48" s="2948"/>
      <c r="F48" s="193"/>
      <c r="G48" s="193"/>
      <c r="H48" s="193"/>
    </row>
    <row r="49" spans="1:12" ht="12.6" customHeight="1">
      <c r="A49" s="185">
        <v>33</v>
      </c>
      <c r="B49" s="186">
        <f>IF(A49&gt;C9,0,SUM(C305:C316)*($C$6/$C$7))</f>
        <v>0</v>
      </c>
      <c r="C49" s="187">
        <f>IF(A49&gt;C9,0,(E459+K459)*$C$8)</f>
        <v>0</v>
      </c>
      <c r="D49" s="2948">
        <f t="shared" si="0"/>
        <v>0</v>
      </c>
      <c r="E49" s="2948"/>
      <c r="F49" s="193"/>
      <c r="G49" s="193"/>
      <c r="H49" s="193"/>
    </row>
    <row r="50" spans="1:12" ht="12.6" customHeight="1">
      <c r="A50" s="185">
        <v>34</v>
      </c>
      <c r="B50" s="186">
        <f>IF(A50&gt;C9,0,SUM(C306:C317)*($C$6/$C$7))</f>
        <v>0</v>
      </c>
      <c r="C50" s="187">
        <f>IF(A50&gt;C9,0,(E471+K471)*$C$8)</f>
        <v>0</v>
      </c>
      <c r="D50" s="2948">
        <f t="shared" si="0"/>
        <v>0</v>
      </c>
      <c r="E50" s="2948"/>
      <c r="F50" s="193"/>
      <c r="G50" s="193"/>
      <c r="H50" s="193"/>
    </row>
    <row r="51" spans="1:12" ht="12.6" customHeight="1">
      <c r="A51" s="188">
        <v>35</v>
      </c>
      <c r="B51" s="189">
        <f>IF(A51&gt;C9,0,SUM(C307:C318)*($C$6/$C$7))</f>
        <v>0</v>
      </c>
      <c r="C51" s="208">
        <f>IF(A51&gt;C9,0,(E483+K483)*$C$8)</f>
        <v>0</v>
      </c>
      <c r="D51" s="2949">
        <f t="shared" si="0"/>
        <v>0</v>
      </c>
      <c r="E51" s="2949"/>
      <c r="F51" s="193"/>
      <c r="G51" s="193"/>
      <c r="H51" s="193"/>
    </row>
    <row r="52" spans="1:12" ht="12.6" customHeight="1">
      <c r="A52" s="192">
        <v>36</v>
      </c>
      <c r="B52" s="184">
        <f>IF(A52&gt;C9,0,SUM(C308:C319)*($C$6/$C$7))</f>
        <v>0</v>
      </c>
      <c r="C52" s="209">
        <f>IF(A52&gt;C9,0,(E495+K495)*$C$8)</f>
        <v>0</v>
      </c>
      <c r="D52" s="2950">
        <f t="shared" si="0"/>
        <v>0</v>
      </c>
      <c r="E52" s="2950"/>
      <c r="F52" s="193"/>
      <c r="G52" s="193"/>
      <c r="H52" s="193"/>
    </row>
    <row r="53" spans="1:12" ht="12.6" customHeight="1">
      <c r="A53" s="185">
        <v>37</v>
      </c>
      <c r="B53" s="186">
        <f>IF(A53&gt;C9,0,SUM(C309:C320)*($C$6/$C$7))</f>
        <v>0</v>
      </c>
      <c r="C53" s="187">
        <f>IF(A53&gt;C9,0,(E507+K507)*$C$8)</f>
        <v>0</v>
      </c>
      <c r="D53" s="2948">
        <f t="shared" si="0"/>
        <v>0</v>
      </c>
      <c r="E53" s="2948"/>
      <c r="F53" s="193"/>
      <c r="G53" s="193"/>
      <c r="H53" s="193"/>
    </row>
    <row r="54" spans="1:12" ht="12.6" customHeight="1">
      <c r="A54" s="185">
        <v>38</v>
      </c>
      <c r="B54" s="186">
        <f>IF(A54&gt;C9,0,SUM(C310:C321)*($C$6/$C$7))</f>
        <v>0</v>
      </c>
      <c r="C54" s="187">
        <f>IF(A54&gt;C9,0,(E519+K519)*$C$8)</f>
        <v>0</v>
      </c>
      <c r="D54" s="2948">
        <f t="shared" si="0"/>
        <v>0</v>
      </c>
      <c r="E54" s="2948"/>
      <c r="F54" s="193"/>
      <c r="G54" s="193"/>
      <c r="H54" s="193"/>
    </row>
    <row r="55" spans="1:12" ht="12.6" customHeight="1">
      <c r="A55" s="185">
        <v>39</v>
      </c>
      <c r="B55" s="186">
        <f>IF(A55&gt;C9,0,SUM(C311:C322)*($C$6/$C$7))</f>
        <v>0</v>
      </c>
      <c r="C55" s="187">
        <f>IF(A55&gt;C9,0,(E531+K531)*$C$8)</f>
        <v>0</v>
      </c>
      <c r="D55" s="2948">
        <f t="shared" si="0"/>
        <v>0</v>
      </c>
      <c r="E55" s="2948"/>
      <c r="F55" s="193"/>
      <c r="G55" s="193"/>
      <c r="H55" s="193"/>
    </row>
    <row r="56" spans="1:12" ht="12.6" customHeight="1">
      <c r="A56" s="188">
        <v>40</v>
      </c>
      <c r="B56" s="189">
        <f>IF(A56&gt;C9,0,SUM(C312:C323)*($C$6/$C$7))</f>
        <v>0</v>
      </c>
      <c r="C56" s="208">
        <f>IF(A56&gt;C9,0,(E543+K543)*$C$8)</f>
        <v>0</v>
      </c>
      <c r="D56" s="2949">
        <f t="shared" si="0"/>
        <v>0</v>
      </c>
      <c r="E56" s="2949"/>
      <c r="F56" s="193"/>
      <c r="G56" s="193"/>
      <c r="H56" s="193"/>
    </row>
    <row r="57" spans="1:12" ht="3" customHeight="1">
      <c r="A57" s="193"/>
      <c r="B57" s="193"/>
      <c r="C57" s="193"/>
      <c r="D57" s="193"/>
      <c r="E57" s="193"/>
      <c r="F57" s="193"/>
      <c r="G57" s="193"/>
      <c r="H57" s="193"/>
    </row>
    <row r="58" spans="1:12" ht="13.35" customHeight="1">
      <c r="A58" s="2952" t="e">
        <f>CONCATENATE(#REF!," ",#REF!,", ",#REF!,", ",#REF!," County")</f>
        <v>#REF!</v>
      </c>
      <c r="B58" s="2952"/>
      <c r="C58" s="2952"/>
      <c r="D58" s="2952"/>
      <c r="E58" s="2952"/>
      <c r="F58" s="2952"/>
      <c r="G58" s="2952" t="e">
        <f>CONCATENATE(#REF!," ",#REF!,", ",#REF!,", ",#REF!," County")</f>
        <v>#REF!</v>
      </c>
      <c r="H58" s="2952"/>
      <c r="I58" s="2952"/>
      <c r="J58" s="2952"/>
      <c r="K58" s="2952"/>
      <c r="L58" s="2952"/>
    </row>
    <row r="59" spans="1:12" ht="13.8">
      <c r="A59" s="2953" t="s">
        <v>2439</v>
      </c>
      <c r="B59" s="2953"/>
      <c r="C59" s="2953"/>
      <c r="D59" s="2953"/>
      <c r="E59" s="2953"/>
      <c r="F59" s="2953"/>
      <c r="G59" s="2953" t="s">
        <v>2439</v>
      </c>
      <c r="H59" s="2953"/>
      <c r="I59" s="2953"/>
      <c r="J59" s="2953"/>
      <c r="K59" s="2953"/>
      <c r="L59" s="2953"/>
    </row>
    <row r="60" spans="1:12" ht="6" customHeight="1">
      <c r="C60" s="191"/>
      <c r="D60" s="191"/>
      <c r="I60" s="191"/>
      <c r="J60" s="191"/>
    </row>
    <row r="61" spans="1:12">
      <c r="A61" s="194" t="s">
        <v>2440</v>
      </c>
      <c r="B61" s="195" t="s">
        <v>2441</v>
      </c>
      <c r="C61" s="195" t="s">
        <v>1279</v>
      </c>
      <c r="D61" s="195" t="s">
        <v>2442</v>
      </c>
      <c r="E61" s="194" t="s">
        <v>2443</v>
      </c>
      <c r="F61" s="222" t="s">
        <v>2448</v>
      </c>
      <c r="G61" s="194" t="s">
        <v>2440</v>
      </c>
      <c r="H61" s="195" t="s">
        <v>2441</v>
      </c>
      <c r="I61" s="195" t="s">
        <v>1279</v>
      </c>
      <c r="J61" s="195" t="s">
        <v>2442</v>
      </c>
      <c r="K61" s="194" t="s">
        <v>2443</v>
      </c>
      <c r="L61" s="222" t="s">
        <v>2448</v>
      </c>
    </row>
    <row r="62" spans="1:12" ht="3.6" customHeight="1">
      <c r="A62" s="197"/>
      <c r="B62" s="116"/>
      <c r="C62" s="116"/>
      <c r="D62" s="116"/>
      <c r="E62" s="116"/>
      <c r="F62" s="80"/>
      <c r="G62" s="197"/>
      <c r="H62" s="116"/>
      <c r="I62" s="116"/>
      <c r="J62" s="116"/>
      <c r="K62" s="116"/>
      <c r="L62" s="80"/>
    </row>
    <row r="63" spans="1:12">
      <c r="A63" s="198" t="s">
        <v>2444</v>
      </c>
      <c r="B63" s="199"/>
      <c r="C63" s="199"/>
      <c r="D63" s="199"/>
      <c r="E63" s="200">
        <f>IF($C$5&gt;1500000,$D$5,$C$5)</f>
        <v>0</v>
      </c>
      <c r="F63" s="80"/>
      <c r="G63" s="198" t="s">
        <v>2444</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88671875" style="26" customWidth="1"/>
    <col min="7" max="7" width="11.5546875" style="26" customWidth="1"/>
    <col min="8" max="8" width="2.109375" style="80" customWidth="1"/>
    <col min="9" max="9" width="10.44140625" style="26" bestFit="1" customWidth="1"/>
    <col min="10" max="10" width="12.109375" style="26" customWidth="1"/>
    <col min="11" max="11" width="10.88671875" style="26" customWidth="1"/>
    <col min="12" max="16384" width="8.88671875" style="26"/>
  </cols>
  <sheetData>
    <row r="1" spans="1:17" s="164" customFormat="1" ht="16.350000000000001" customHeight="1">
      <c r="A1" s="2945" t="e">
        <f>CONCATENATE("PART III C  - HUD INSURED LOAN","  -  ",#REF!," ",#REF!,", ",#REF!,", ",#REF!," County")</f>
        <v>#REF!</v>
      </c>
      <c r="B1" s="2946"/>
      <c r="C1" s="2946"/>
      <c r="D1" s="2946"/>
      <c r="E1" s="2946"/>
      <c r="F1" s="2947"/>
      <c r="G1" s="162"/>
      <c r="H1" s="162"/>
      <c r="I1" s="162"/>
      <c r="J1" s="162"/>
      <c r="K1" s="162"/>
      <c r="L1" s="162"/>
      <c r="M1" s="162"/>
      <c r="N1" s="162"/>
      <c r="O1" s="162"/>
      <c r="P1" s="162"/>
      <c r="Q1" s="162"/>
    </row>
    <row r="2" spans="1:17">
      <c r="A2" s="12"/>
      <c r="B2" s="181"/>
      <c r="C2" s="181"/>
      <c r="D2" s="181"/>
    </row>
    <row r="3" spans="1:17" ht="15.6" customHeight="1">
      <c r="A3" s="2954" t="s">
        <v>215</v>
      </c>
      <c r="B3" s="2954"/>
      <c r="C3" s="2954"/>
      <c r="D3" s="2954"/>
      <c r="E3" s="2954"/>
      <c r="F3" s="2954"/>
      <c r="G3" s="225"/>
      <c r="H3" s="225"/>
    </row>
    <row r="4" spans="1:17">
      <c r="A4" s="12"/>
      <c r="B4" s="181"/>
      <c r="C4" s="181"/>
      <c r="D4" s="181"/>
    </row>
    <row r="5" spans="1:17" ht="13.35" customHeight="1">
      <c r="A5" s="26" t="s">
        <v>2226</v>
      </c>
      <c r="D5" s="220"/>
      <c r="E5" s="2957" t="s">
        <v>943</v>
      </c>
      <c r="F5" s="2958"/>
      <c r="G5" s="159"/>
    </row>
    <row r="6" spans="1:17">
      <c r="E6" s="2958"/>
      <c r="F6" s="2958"/>
      <c r="G6" s="159"/>
    </row>
    <row r="7" spans="1:17">
      <c r="A7" s="26" t="s">
        <v>2431</v>
      </c>
      <c r="C7" s="26" t="s">
        <v>2432</v>
      </c>
      <c r="D7" s="221"/>
      <c r="E7" s="2958"/>
      <c r="F7" s="2958"/>
      <c r="G7" s="159"/>
    </row>
    <row r="8" spans="1:17">
      <c r="C8" s="26" t="s">
        <v>2433</v>
      </c>
      <c r="D8" s="221"/>
      <c r="E8" s="2958"/>
      <c r="F8" s="2958"/>
      <c r="G8" s="159"/>
    </row>
    <row r="9" spans="1:17">
      <c r="C9" s="26" t="s">
        <v>2434</v>
      </c>
      <c r="D9" s="221"/>
      <c r="E9" s="2958"/>
      <c r="F9" s="2958"/>
      <c r="G9" s="159"/>
    </row>
    <row r="10" spans="1:17">
      <c r="C10" s="26" t="s">
        <v>2447</v>
      </c>
      <c r="D10" s="226">
        <f>D7+D8+D9</f>
        <v>0</v>
      </c>
      <c r="E10" s="2958"/>
      <c r="F10" s="2958"/>
      <c r="G10" s="159"/>
    </row>
    <row r="11" spans="1:17">
      <c r="F11" s="159"/>
      <c r="G11" s="159"/>
    </row>
    <row r="12" spans="1:17">
      <c r="A12" s="26" t="s">
        <v>1695</v>
      </c>
      <c r="D12" s="219"/>
      <c r="E12" s="26" t="s">
        <v>2107</v>
      </c>
      <c r="F12" s="159"/>
      <c r="G12" s="159"/>
    </row>
    <row r="13" spans="1:17">
      <c r="D13" s="191"/>
      <c r="F13" s="159"/>
      <c r="G13" s="159"/>
    </row>
    <row r="14" spans="1:17">
      <c r="A14" s="26" t="s">
        <v>2436</v>
      </c>
      <c r="D14" s="218"/>
      <c r="E14" s="26" t="s">
        <v>2437</v>
      </c>
      <c r="F14" s="227"/>
    </row>
    <row r="15" spans="1:17">
      <c r="D15" s="211"/>
      <c r="F15" s="227"/>
    </row>
    <row r="16" spans="1:17">
      <c r="A16" s="26" t="s">
        <v>2438</v>
      </c>
      <c r="D16" s="218"/>
      <c r="E16" s="26" t="s">
        <v>2437</v>
      </c>
      <c r="F16" s="227"/>
    </row>
    <row r="17" spans="1:10">
      <c r="D17" s="191"/>
      <c r="F17" s="227"/>
    </row>
    <row r="18" spans="1:10">
      <c r="A18" s="26" t="s">
        <v>917</v>
      </c>
      <c r="D18" s="228" t="e">
        <f>PMT(D10/12,D16*12,-D5,0,0)*12</f>
        <v>#NUM!</v>
      </c>
      <c r="E18" s="26" t="s">
        <v>1483</v>
      </c>
      <c r="F18" s="227"/>
    </row>
    <row r="19" spans="1:10">
      <c r="D19" s="191"/>
      <c r="F19" s="227"/>
    </row>
    <row r="20" spans="1:10">
      <c r="A20" s="26" t="s">
        <v>1484</v>
      </c>
      <c r="D20" s="191" t="e">
        <f>D18/12</f>
        <v>#NUM!</v>
      </c>
      <c r="E20" s="26" t="s">
        <v>1483</v>
      </c>
      <c r="F20" s="227"/>
    </row>
    <row r="24" spans="1:10" ht="18" customHeight="1">
      <c r="A24" s="2955" t="s">
        <v>1696</v>
      </c>
      <c r="B24" s="2955"/>
      <c r="C24" s="2955"/>
      <c r="D24" s="2955"/>
      <c r="E24" s="2955"/>
      <c r="F24" s="2955"/>
      <c r="J24" s="229"/>
    </row>
    <row r="25" spans="1:10">
      <c r="C25" s="191"/>
      <c r="J25" s="229"/>
    </row>
    <row r="26" spans="1:10">
      <c r="A26" s="104"/>
      <c r="B26" s="80"/>
      <c r="C26" s="2959" t="s">
        <v>2225</v>
      </c>
      <c r="D26" s="224"/>
      <c r="E26" s="80"/>
      <c r="F26" s="2959" t="s">
        <v>2225</v>
      </c>
      <c r="J26" s="229"/>
    </row>
    <row r="27" spans="1:10">
      <c r="A27" s="230" t="s">
        <v>2448</v>
      </c>
      <c r="B27" s="71" t="s">
        <v>1013</v>
      </c>
      <c r="C27" s="2960"/>
      <c r="D27" s="231" t="s">
        <v>2448</v>
      </c>
      <c r="E27" s="71" t="s">
        <v>1013</v>
      </c>
      <c r="F27" s="2960"/>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2952" t="e">
        <f>CONCATENATE(#REF!," ",#REF!,", ",#REF!,", ",#REF!," County")</f>
        <v>#REF!</v>
      </c>
      <c r="B50" s="2952"/>
      <c r="C50" s="2952"/>
      <c r="D50" s="2952"/>
      <c r="E50" s="2952"/>
      <c r="F50" s="2952"/>
      <c r="G50" s="215"/>
      <c r="H50" s="215"/>
    </row>
    <row r="51" spans="1:10" ht="13.8">
      <c r="A51" s="2953" t="s">
        <v>2439</v>
      </c>
      <c r="B51" s="2953"/>
      <c r="C51" s="2953"/>
      <c r="D51" s="2953"/>
      <c r="E51" s="2953"/>
      <c r="F51" s="2953"/>
      <c r="G51" s="241"/>
      <c r="H51" s="241"/>
      <c r="I51" s="241"/>
      <c r="J51" s="241"/>
    </row>
    <row r="52" spans="1:10" ht="5.4" customHeight="1">
      <c r="C52" s="191"/>
      <c r="D52" s="191"/>
      <c r="G52" s="196"/>
      <c r="H52" s="190"/>
      <c r="I52" s="196"/>
    </row>
    <row r="53" spans="1:10">
      <c r="A53" s="194" t="s">
        <v>2440</v>
      </c>
      <c r="B53" s="194" t="s">
        <v>2441</v>
      </c>
      <c r="C53" s="194" t="s">
        <v>1279</v>
      </c>
      <c r="D53" s="194" t="s">
        <v>2442</v>
      </c>
      <c r="E53" s="194" t="s">
        <v>2443</v>
      </c>
      <c r="F53" s="222" t="s">
        <v>2448</v>
      </c>
      <c r="G53" s="242"/>
      <c r="H53" s="242"/>
      <c r="I53" s="242"/>
    </row>
    <row r="54" spans="1:10" ht="3.6" customHeight="1">
      <c r="F54" s="80"/>
      <c r="G54" s="196"/>
      <c r="H54" s="190"/>
      <c r="I54" s="196"/>
    </row>
    <row r="55" spans="1:10">
      <c r="A55" s="26" t="s">
        <v>2444</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36" zoomScale="130" zoomScaleNormal="130" workbookViewId="0">
      <selection activeCell="A136" sqref="A1:XFD1048576"/>
    </sheetView>
  </sheetViews>
  <sheetFormatPr defaultColWidth="9.109375" defaultRowHeight="13.8"/>
  <cols>
    <col min="1" max="1" width="2.44140625" style="312" customWidth="1"/>
    <col min="2" max="2" width="5.44140625" style="312" customWidth="1"/>
    <col min="3" max="3" width="18" style="312" customWidth="1"/>
    <col min="4" max="4" width="7.109375" style="312" customWidth="1"/>
    <col min="5" max="5" width="12.5546875" style="312" customWidth="1"/>
    <col min="6" max="6" width="10.44140625" style="312" customWidth="1"/>
    <col min="7" max="8" width="6.44140625" style="312" customWidth="1"/>
    <col min="9" max="9" width="1.88671875" style="312" customWidth="1"/>
    <col min="10" max="11" width="6.44140625" style="312" customWidth="1"/>
    <col min="12" max="12" width="1.88671875" style="312" customWidth="1"/>
    <col min="13" max="14" width="6.44140625" style="312" customWidth="1"/>
    <col min="15" max="15" width="1.88671875" style="312" customWidth="1"/>
    <col min="16" max="17" width="6.44140625" style="312" customWidth="1"/>
    <col min="18" max="18" width="1.88671875" style="312" customWidth="1"/>
    <col min="19" max="20" width="7" style="312" customWidth="1"/>
    <col min="21" max="21" width="5.88671875" style="312" customWidth="1"/>
    <col min="22" max="22" width="13.109375" style="312" customWidth="1"/>
    <col min="23" max="23" width="24.88671875" style="312" customWidth="1"/>
    <col min="24" max="24" width="73.44140625" style="312" customWidth="1"/>
    <col min="25" max="16384" width="9.109375" style="312"/>
  </cols>
  <sheetData>
    <row r="1" spans="1:24" s="294" customFormat="1" ht="13.5" customHeight="1">
      <c r="A1" s="3100" t="str">
        <f>CONCATENATE("PART FOUR -  USES OF FUNDS","  -  ",'Part I-Project Information'!$O$6," ",'Part I-Project Information'!$F$34,", ",'Part I-Project Information'!F38,", ",'Part I-Project Information'!J39," County")</f>
        <v>PART FOUR -  USES OF FUNDS  -  2019-063 Haven at South Atlanta, Atlanta, Fulton County</v>
      </c>
      <c r="B1" s="3101"/>
      <c r="C1" s="3101"/>
      <c r="D1" s="3101"/>
      <c r="E1" s="3101"/>
      <c r="F1" s="3101"/>
      <c r="G1" s="3101"/>
      <c r="H1" s="3101"/>
      <c r="I1" s="3101"/>
      <c r="J1" s="3101"/>
      <c r="K1" s="3101"/>
      <c r="L1" s="3101"/>
      <c r="M1" s="3101"/>
      <c r="N1" s="3101"/>
      <c r="O1" s="3101"/>
      <c r="P1" s="3101"/>
      <c r="Q1" s="3101"/>
      <c r="R1" s="3101"/>
      <c r="S1" s="3101"/>
      <c r="T1" s="3101"/>
      <c r="W1" s="3102" t="str">
        <f>A1</f>
        <v>PART FOUR -  USES OF FUNDS  -  2019-063 Haven at South Atlanta, Atlanta, Fulton County</v>
      </c>
      <c r="X1" s="3102"/>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605</v>
      </c>
      <c r="B5" s="422" t="s">
        <v>887</v>
      </c>
      <c r="D5" s="2967" t="str">
        <f>'Part I-Project Information'!$B$6</f>
        <v>May 2019</v>
      </c>
      <c r="E5" s="2967"/>
      <c r="F5" s="2967"/>
      <c r="G5" s="2967"/>
      <c r="H5" s="2967"/>
      <c r="I5" s="483"/>
      <c r="J5" s="3035" t="s">
        <v>268</v>
      </c>
      <c r="K5" s="3036"/>
      <c r="L5" s="345"/>
      <c r="M5" s="3066" t="s">
        <v>484</v>
      </c>
      <c r="N5" s="3067"/>
      <c r="P5" s="3035" t="s">
        <v>269</v>
      </c>
      <c r="Q5" s="3036"/>
      <c r="S5" s="3035" t="s">
        <v>270</v>
      </c>
      <c r="T5" s="3036"/>
      <c r="V5" s="423" t="str">
        <f>B5</f>
        <v>DEVELOPMENT BUDGET</v>
      </c>
    </row>
    <row r="6" spans="1:24" s="294" customFormat="1" ht="19.5" customHeight="1" thickBot="1">
      <c r="D6" s="1627"/>
      <c r="E6" s="1627"/>
      <c r="F6" s="1627"/>
      <c r="G6" s="3070" t="s">
        <v>99</v>
      </c>
      <c r="H6" s="3071"/>
      <c r="J6" s="3037"/>
      <c r="K6" s="3038"/>
      <c r="L6" s="345"/>
      <c r="M6" s="3068"/>
      <c r="N6" s="3069"/>
      <c r="P6" s="3037"/>
      <c r="Q6" s="3038"/>
      <c r="S6" s="3037"/>
      <c r="T6" s="3038"/>
      <c r="V6" s="332" t="s">
        <v>2646</v>
      </c>
      <c r="X6" s="332"/>
    </row>
    <row r="7" spans="1:24" s="294" customFormat="1" ht="12" customHeight="1">
      <c r="B7" s="296" t="s">
        <v>100</v>
      </c>
      <c r="O7" s="480" t="str">
        <f>B7</f>
        <v>PRE-DEVELOPMENT COSTS</v>
      </c>
      <c r="W7" s="294" t="str">
        <f>B7</f>
        <v>PRE-DEVELOPMENT COSTS</v>
      </c>
    </row>
    <row r="8" spans="1:24" s="294" customFormat="1" ht="12.6" customHeight="1">
      <c r="B8" s="294" t="s">
        <v>1974</v>
      </c>
      <c r="G8" s="2907">
        <v>8500</v>
      </c>
      <c r="H8" s="2908"/>
      <c r="J8" s="2907">
        <v>8500</v>
      </c>
      <c r="K8" s="2908"/>
      <c r="L8" s="1738"/>
      <c r="M8" s="2907"/>
      <c r="N8" s="2908"/>
      <c r="P8" s="2907"/>
      <c r="Q8" s="2908"/>
      <c r="S8" s="2907"/>
      <c r="T8" s="2908"/>
      <c r="V8" s="2333"/>
      <c r="W8" s="2961"/>
      <c r="X8" s="2962"/>
    </row>
    <row r="9" spans="1:24" s="294" customFormat="1" ht="12.6" customHeight="1">
      <c r="B9" s="294" t="s">
        <v>453</v>
      </c>
      <c r="G9" s="2891">
        <v>8500</v>
      </c>
      <c r="H9" s="2892"/>
      <c r="J9" s="2891">
        <v>8500</v>
      </c>
      <c r="K9" s="2892"/>
      <c r="L9" s="1738"/>
      <c r="M9" s="2891"/>
      <c r="N9" s="2892"/>
      <c r="P9" s="2891"/>
      <c r="Q9" s="2892"/>
      <c r="S9" s="2891"/>
      <c r="T9" s="2892"/>
      <c r="V9" s="2333"/>
      <c r="W9" s="2961"/>
      <c r="X9" s="2962"/>
    </row>
    <row r="10" spans="1:24" s="294" customFormat="1" ht="12.6" customHeight="1">
      <c r="B10" s="294" t="s">
        <v>482</v>
      </c>
      <c r="G10" s="2891">
        <f>15000+15000+15000</f>
        <v>45000</v>
      </c>
      <c r="H10" s="2892"/>
      <c r="J10" s="2891">
        <f>15000+15000+15000</f>
        <v>45000</v>
      </c>
      <c r="K10" s="2892"/>
      <c r="L10" s="1738"/>
      <c r="M10" s="2891"/>
      <c r="N10" s="2892"/>
      <c r="P10" s="2891"/>
      <c r="Q10" s="2892"/>
      <c r="S10" s="2891"/>
      <c r="T10" s="2892"/>
      <c r="V10" s="2333"/>
      <c r="W10" s="2961"/>
      <c r="X10" s="2962"/>
    </row>
    <row r="11" spans="1:24" s="294" customFormat="1" ht="12.6" customHeight="1">
      <c r="B11" s="294" t="s">
        <v>483</v>
      </c>
      <c r="G11" s="2891">
        <v>30000</v>
      </c>
      <c r="H11" s="2892"/>
      <c r="J11" s="2891">
        <v>30000</v>
      </c>
      <c r="K11" s="2892"/>
      <c r="L11" s="1738"/>
      <c r="M11" s="2891"/>
      <c r="N11" s="2892"/>
      <c r="P11" s="2891"/>
      <c r="Q11" s="2892"/>
      <c r="S11" s="2891"/>
      <c r="T11" s="2892"/>
      <c r="V11" s="2333"/>
      <c r="W11" s="2961"/>
      <c r="X11" s="2962"/>
    </row>
    <row r="12" spans="1:24" s="294" customFormat="1" ht="12.6" customHeight="1">
      <c r="B12" s="294" t="s">
        <v>2467</v>
      </c>
      <c r="G12" s="2891">
        <v>20000</v>
      </c>
      <c r="H12" s="2892"/>
      <c r="J12" s="2891">
        <v>20000</v>
      </c>
      <c r="K12" s="2892"/>
      <c r="L12" s="1738"/>
      <c r="M12" s="2891"/>
      <c r="N12" s="2892"/>
      <c r="P12" s="2891"/>
      <c r="Q12" s="2892"/>
      <c r="S12" s="2891"/>
      <c r="T12" s="2892"/>
      <c r="V12" s="2333"/>
      <c r="W12" s="2961"/>
      <c r="X12" s="2962"/>
    </row>
    <row r="13" spans="1:24" s="294" customFormat="1" ht="12.6" customHeight="1">
      <c r="B13" s="294" t="s">
        <v>188</v>
      </c>
      <c r="G13" s="2891"/>
      <c r="H13" s="2892"/>
      <c r="J13" s="2891"/>
      <c r="K13" s="2892"/>
      <c r="L13" s="1738"/>
      <c r="M13" s="2891"/>
      <c r="N13" s="2892"/>
      <c r="P13" s="2891"/>
      <c r="Q13" s="2892"/>
      <c r="S13" s="2891"/>
      <c r="T13" s="2892"/>
      <c r="V13" s="2333"/>
      <c r="W13" s="2961"/>
      <c r="X13" s="2962"/>
    </row>
    <row r="14" spans="1:24" s="294" customFormat="1" ht="12.6" customHeight="1">
      <c r="A14" s="372" t="str">
        <f>IF(AND(G14&gt;0,OR(C14="",C14="&lt;Enter detailed description here; use Comments section if needed&gt;")),"X","")</f>
        <v/>
      </c>
      <c r="B14" s="294" t="s">
        <v>730</v>
      </c>
      <c r="C14" s="3047" t="s">
        <v>3610</v>
      </c>
      <c r="D14" s="3047"/>
      <c r="E14" s="3047"/>
      <c r="F14" s="3048"/>
      <c r="G14" s="2891"/>
      <c r="H14" s="2892"/>
      <c r="J14" s="2891"/>
      <c r="K14" s="2892"/>
      <c r="L14" s="1738"/>
      <c r="M14" s="2891"/>
      <c r="N14" s="2892"/>
      <c r="P14" s="2891"/>
      <c r="Q14" s="2892"/>
      <c r="S14" s="2891"/>
      <c r="T14" s="2892"/>
      <c r="U14" s="371" t="str">
        <f>IF(AND(G14&gt;0,OR(C14="",C14="&lt;Enter detailed description here; use Comments section if needed&gt;")),"NO DESCRIPTION PROVIDED - please enter detailed description in Other box at left; use Comments section below if needed.","")</f>
        <v/>
      </c>
      <c r="V14" s="2334"/>
      <c r="W14" s="2961"/>
      <c r="X14" s="2962"/>
    </row>
    <row r="15" spans="1:24" s="294" customFormat="1" ht="12.6" customHeight="1">
      <c r="A15" s="372" t="str">
        <f>IF(AND(G15&gt;0,OR(C15="",C15="&lt;Enter detailed description here; use Comments section if needed&gt;")),"X","")</f>
        <v/>
      </c>
      <c r="B15" s="294" t="s">
        <v>730</v>
      </c>
      <c r="C15" s="3047" t="s">
        <v>3610</v>
      </c>
      <c r="D15" s="3047"/>
      <c r="E15" s="3047"/>
      <c r="F15" s="3048"/>
      <c r="G15" s="2891"/>
      <c r="H15" s="2892"/>
      <c r="J15" s="2891"/>
      <c r="K15" s="2892"/>
      <c r="L15" s="1738"/>
      <c r="M15" s="2891"/>
      <c r="N15" s="2892"/>
      <c r="P15" s="2891"/>
      <c r="Q15" s="2892"/>
      <c r="S15" s="2891"/>
      <c r="T15" s="2892"/>
      <c r="U15" s="371" t="str">
        <f>IF(AND(G15&gt;0,OR(C15="",C15="&lt;Enter detailed description here; use Comments section if needed&gt;")),"NO DESCRIPTION PROVIDED - please enter detailed description in Other box at left; use Comments section below if needed.","")</f>
        <v/>
      </c>
      <c r="V15" s="2334"/>
      <c r="W15" s="2961"/>
      <c r="X15" s="2962"/>
    </row>
    <row r="16" spans="1:24" s="294" customFormat="1" ht="12.6" customHeight="1" thickBot="1">
      <c r="A16" s="372" t="str">
        <f>IF(AND(G16&gt;0,OR(C16="",C16="&lt;Enter detailed description here; use Comments section if needed&gt;")),"X","")</f>
        <v/>
      </c>
      <c r="B16" s="294" t="s">
        <v>730</v>
      </c>
      <c r="C16" s="3047" t="s">
        <v>3610</v>
      </c>
      <c r="D16" s="3047"/>
      <c r="E16" s="3047"/>
      <c r="F16" s="3048"/>
      <c r="G16" s="3056"/>
      <c r="H16" s="3057"/>
      <c r="J16" s="3056"/>
      <c r="K16" s="3057"/>
      <c r="L16" s="1738"/>
      <c r="M16" s="3056"/>
      <c r="N16" s="3057"/>
      <c r="P16" s="3056"/>
      <c r="Q16" s="3057"/>
      <c r="S16" s="3056"/>
      <c r="T16" s="3057"/>
      <c r="U16" s="371" t="str">
        <f>IF(AND(G16&gt;0,OR(C16="",C16="&lt;Enter detailed description here; use Comments section if needed&gt;")),"NO DESCRIPTION PROVIDED - please enter detailed description in Other box at left; use Comments section below if needed.","")</f>
        <v/>
      </c>
      <c r="V16" s="2334"/>
      <c r="W16" s="2963"/>
      <c r="X16" s="2964"/>
    </row>
    <row r="17" spans="2:24" s="294" customFormat="1" ht="12.6" customHeight="1" thickTop="1">
      <c r="F17" s="346" t="s">
        <v>189</v>
      </c>
      <c r="G17" s="3049">
        <f>SUM(G8:H16)</f>
        <v>112000</v>
      </c>
      <c r="H17" s="3050"/>
      <c r="J17" s="3049">
        <f>SUM(J8:K16)</f>
        <v>112000</v>
      </c>
      <c r="K17" s="3099"/>
      <c r="L17" s="1738"/>
      <c r="M17" s="3049">
        <f>SUM(M8:N16)</f>
        <v>0</v>
      </c>
      <c r="N17" s="3050"/>
      <c r="P17" s="3049">
        <f>SUM(P8:Q16)</f>
        <v>0</v>
      </c>
      <c r="Q17" s="3050"/>
      <c r="S17" s="3049">
        <f>SUM(S8:T16)</f>
        <v>0</v>
      </c>
      <c r="T17" s="3050"/>
      <c r="V17" s="2335">
        <f>SUM(V8:V16)</f>
        <v>0</v>
      </c>
      <c r="W17" s="2979"/>
      <c r="X17" s="2980"/>
    </row>
    <row r="18" spans="2:24" s="294" customFormat="1" ht="12" customHeight="1">
      <c r="B18" s="296" t="s">
        <v>2170</v>
      </c>
      <c r="J18" s="345"/>
      <c r="K18" s="345"/>
      <c r="M18" s="345"/>
      <c r="N18" s="345"/>
      <c r="O18" s="347" t="str">
        <f>B18</f>
        <v>ACQUISITION</v>
      </c>
      <c r="P18" s="345"/>
      <c r="Q18" s="345"/>
      <c r="S18" s="345"/>
      <c r="T18" s="345"/>
      <c r="V18" s="1075"/>
      <c r="W18" s="294" t="str">
        <f>B18</f>
        <v>ACQUISITION</v>
      </c>
    </row>
    <row r="19" spans="2:24" s="294" customFormat="1" ht="12.6" customHeight="1">
      <c r="B19" s="294" t="s">
        <v>2171</v>
      </c>
      <c r="E19" s="851" t="s">
        <v>3622</v>
      </c>
      <c r="F19" s="460">
        <f>IF('Part I-Project Information'!$O$37="","",G19/'Part I-Project Information'!$O$37)</f>
        <v>77208.153180975904</v>
      </c>
      <c r="G19" s="2907">
        <v>300000</v>
      </c>
      <c r="H19" s="2908"/>
      <c r="J19" s="348"/>
      <c r="K19" s="345"/>
      <c r="L19" s="348"/>
      <c r="M19" s="348"/>
      <c r="N19" s="345"/>
      <c r="P19" s="348"/>
      <c r="Q19" s="345"/>
      <c r="S19" s="2907">
        <v>300000</v>
      </c>
      <c r="T19" s="2908"/>
      <c r="V19" s="2333"/>
      <c r="W19" s="2961"/>
      <c r="X19" s="2962"/>
    </row>
    <row r="20" spans="2:24" s="294" customFormat="1" ht="12.6" customHeight="1">
      <c r="B20" s="294" t="s">
        <v>1106</v>
      </c>
      <c r="G20" s="2891"/>
      <c r="H20" s="2892"/>
      <c r="J20" s="348"/>
      <c r="K20" s="345"/>
      <c r="L20" s="348"/>
      <c r="M20" s="348"/>
      <c r="N20" s="345"/>
      <c r="P20" s="348"/>
      <c r="Q20" s="345"/>
      <c r="S20" s="2891"/>
      <c r="T20" s="2892"/>
      <c r="V20" s="2333"/>
      <c r="W20" s="2961"/>
      <c r="X20" s="2962"/>
    </row>
    <row r="21" spans="2:24" s="294" customFormat="1" ht="12.6" customHeight="1">
      <c r="B21" s="294" t="s">
        <v>454</v>
      </c>
      <c r="G21" s="2891"/>
      <c r="H21" s="2892"/>
      <c r="J21" s="348"/>
      <c r="K21" s="345"/>
      <c r="L21" s="348"/>
      <c r="M21" s="2907"/>
      <c r="N21" s="2908"/>
      <c r="P21" s="348"/>
      <c r="Q21" s="345"/>
      <c r="S21" s="2891"/>
      <c r="T21" s="2892"/>
      <c r="V21" s="2333"/>
      <c r="W21" s="2961"/>
      <c r="X21" s="2962"/>
    </row>
    <row r="22" spans="2:24" s="294" customFormat="1" ht="12.6" customHeight="1" thickBot="1">
      <c r="B22" s="294" t="s">
        <v>426</v>
      </c>
      <c r="G22" s="3056"/>
      <c r="H22" s="3057"/>
      <c r="J22" s="348"/>
      <c r="K22" s="345"/>
      <c r="L22" s="348"/>
      <c r="M22" s="3056"/>
      <c r="N22" s="3057"/>
      <c r="P22" s="348"/>
      <c r="Q22" s="345"/>
      <c r="S22" s="3056"/>
      <c r="T22" s="3057"/>
      <c r="V22" s="2333"/>
      <c r="W22" s="2963"/>
      <c r="X22" s="2964"/>
    </row>
    <row r="23" spans="2:24" s="294" customFormat="1" ht="12.6" customHeight="1" thickTop="1">
      <c r="F23" s="346" t="s">
        <v>189</v>
      </c>
      <c r="G23" s="3049">
        <f>SUM(G19:H22)</f>
        <v>300000</v>
      </c>
      <c r="H23" s="3050"/>
      <c r="J23" s="348"/>
      <c r="K23" s="345"/>
      <c r="L23" s="348"/>
      <c r="M23" s="3049">
        <f>SUM(M21:N22)</f>
        <v>0</v>
      </c>
      <c r="N23" s="3050"/>
      <c r="P23" s="348"/>
      <c r="Q23" s="345"/>
      <c r="S23" s="3049">
        <f>SUM(S19:T22)</f>
        <v>300000</v>
      </c>
      <c r="T23" s="3050"/>
      <c r="V23" s="2335">
        <f>SUM(V19:V22)</f>
        <v>0</v>
      </c>
      <c r="W23" s="2979"/>
      <c r="X23" s="2980"/>
    </row>
    <row r="24" spans="2:24" s="294" customFormat="1" ht="12" customHeight="1">
      <c r="B24" s="296" t="s">
        <v>1107</v>
      </c>
      <c r="J24" s="348"/>
      <c r="K24" s="345"/>
      <c r="M24" s="348"/>
      <c r="N24" s="345"/>
      <c r="O24" s="347" t="str">
        <f>B24</f>
        <v>LAND IMPROVEMENTS</v>
      </c>
      <c r="P24" s="348"/>
      <c r="Q24" s="345"/>
      <c r="S24" s="348"/>
      <c r="T24" s="345"/>
      <c r="V24" s="1075"/>
      <c r="W24" s="294" t="str">
        <f>B24</f>
        <v>LAND IMPROVEMENTS</v>
      </c>
    </row>
    <row r="25" spans="2:24" s="294" customFormat="1" ht="12.6" customHeight="1">
      <c r="B25" s="294" t="s">
        <v>1108</v>
      </c>
      <c r="E25" s="851" t="s">
        <v>3622</v>
      </c>
      <c r="F25" s="460">
        <f>IF('Part I-Project Information'!$O$37="","",G25/'Part I-Project Information'!$O$37)</f>
        <v>334568.66378422891</v>
      </c>
      <c r="G25" s="2907">
        <v>1300000</v>
      </c>
      <c r="H25" s="2908"/>
      <c r="J25" s="2907">
        <v>650000</v>
      </c>
      <c r="K25" s="2908"/>
      <c r="L25" s="1738"/>
      <c r="M25" s="3097"/>
      <c r="N25" s="3098"/>
      <c r="P25" s="3097"/>
      <c r="Q25" s="3098"/>
      <c r="S25" s="2907">
        <f>1300000-650000</f>
        <v>650000</v>
      </c>
      <c r="T25" s="2908"/>
      <c r="V25" s="2333"/>
      <c r="W25" s="2961"/>
      <c r="X25" s="2962"/>
    </row>
    <row r="26" spans="2:24" s="294" customFormat="1" ht="12.6" customHeight="1" thickBot="1">
      <c r="B26" s="294" t="s">
        <v>1109</v>
      </c>
      <c r="G26" s="3056"/>
      <c r="H26" s="3057"/>
      <c r="J26" s="3056"/>
      <c r="K26" s="3057"/>
      <c r="L26" s="349"/>
      <c r="M26" s="3096"/>
      <c r="N26" s="3096"/>
      <c r="P26" s="3096"/>
      <c r="Q26" s="3096"/>
      <c r="S26" s="3056"/>
      <c r="T26" s="3057"/>
      <c r="V26" s="2333"/>
      <c r="W26" s="2963"/>
      <c r="X26" s="2964"/>
    </row>
    <row r="27" spans="2:24" s="294" customFormat="1" ht="12.6" customHeight="1" thickTop="1">
      <c r="F27" s="346" t="s">
        <v>189</v>
      </c>
      <c r="G27" s="3049">
        <f>SUM(G25:H26)</f>
        <v>1300000</v>
      </c>
      <c r="H27" s="3050"/>
      <c r="J27" s="3049">
        <f>SUM(J25:K26)</f>
        <v>650000</v>
      </c>
      <c r="K27" s="3050"/>
      <c r="L27" s="348"/>
      <c r="M27" s="3049">
        <f>M25</f>
        <v>0</v>
      </c>
      <c r="N27" s="3050"/>
      <c r="P27" s="3049">
        <f>P25</f>
        <v>0</v>
      </c>
      <c r="Q27" s="3050"/>
      <c r="S27" s="3049">
        <f>SUM(S25:T26)</f>
        <v>650000</v>
      </c>
      <c r="T27" s="3050"/>
      <c r="V27" s="2335">
        <f>SUM(V25:V26)</f>
        <v>0</v>
      </c>
      <c r="W27" s="2979"/>
      <c r="X27" s="2980"/>
    </row>
    <row r="28" spans="2:24" s="294" customFormat="1" ht="12" customHeight="1">
      <c r="B28" s="296" t="s">
        <v>1110</v>
      </c>
      <c r="J28" s="348"/>
      <c r="K28" s="345"/>
      <c r="M28" s="348"/>
      <c r="N28" s="345"/>
      <c r="O28" s="347" t="str">
        <f>B28</f>
        <v>STRUCTURES</v>
      </c>
      <c r="P28" s="348"/>
      <c r="Q28" s="345"/>
      <c r="S28" s="348"/>
      <c r="T28" s="345"/>
      <c r="V28" s="1075"/>
      <c r="W28" s="294" t="str">
        <f>B28</f>
        <v>STRUCTURES</v>
      </c>
    </row>
    <row r="29" spans="2:24" s="294" customFormat="1" ht="12.6" customHeight="1">
      <c r="B29" s="294" t="s">
        <v>1111</v>
      </c>
      <c r="G29" s="2907">
        <v>8000000</v>
      </c>
      <c r="H29" s="2908"/>
      <c r="J29" s="2907">
        <v>8000000</v>
      </c>
      <c r="K29" s="2908"/>
      <c r="L29" s="1738"/>
      <c r="M29" s="2907"/>
      <c r="N29" s="2908"/>
      <c r="P29" s="2907"/>
      <c r="Q29" s="2908"/>
      <c r="S29" s="2907"/>
      <c r="T29" s="2908"/>
      <c r="V29" s="2333"/>
      <c r="W29" s="2961"/>
      <c r="X29" s="2962"/>
    </row>
    <row r="30" spans="2:24" s="294" customFormat="1" ht="12.6" customHeight="1">
      <c r="B30" s="294" t="s">
        <v>1112</v>
      </c>
      <c r="G30" s="2891"/>
      <c r="H30" s="2892"/>
      <c r="J30" s="2891"/>
      <c r="K30" s="2892"/>
      <c r="L30" s="1738"/>
      <c r="M30" s="2891"/>
      <c r="N30" s="2892"/>
      <c r="P30" s="2891"/>
      <c r="Q30" s="2892"/>
      <c r="S30" s="2891"/>
      <c r="T30" s="2892"/>
      <c r="V30" s="2333"/>
      <c r="W30" s="2961"/>
      <c r="X30" s="2962"/>
    </row>
    <row r="31" spans="2:24" s="294" customFormat="1" ht="12.6" customHeight="1">
      <c r="B31" s="294" t="s">
        <v>2734</v>
      </c>
      <c r="G31" s="2891"/>
      <c r="H31" s="2892"/>
      <c r="J31" s="2891"/>
      <c r="K31" s="2892"/>
      <c r="L31" s="1738"/>
      <c r="M31" s="2891"/>
      <c r="N31" s="2892"/>
      <c r="P31" s="2891"/>
      <c r="Q31" s="2892"/>
      <c r="S31" s="2891"/>
      <c r="T31" s="2892"/>
      <c r="V31" s="2333"/>
      <c r="W31" s="2961"/>
      <c r="X31" s="2962"/>
    </row>
    <row r="32" spans="2:24" ht="12.6" customHeight="1" thickBot="1">
      <c r="B32" s="294" t="s">
        <v>2733</v>
      </c>
      <c r="G32" s="3056"/>
      <c r="H32" s="3057"/>
      <c r="I32" s="294"/>
      <c r="J32" s="3056"/>
      <c r="K32" s="3057"/>
      <c r="L32" s="1738"/>
      <c r="M32" s="3056"/>
      <c r="N32" s="3057"/>
      <c r="O32" s="294"/>
      <c r="P32" s="3056"/>
      <c r="Q32" s="3057"/>
      <c r="R32" s="294"/>
      <c r="S32" s="3056"/>
      <c r="T32" s="3057"/>
      <c r="V32" s="2333"/>
      <c r="W32" s="2963"/>
      <c r="X32" s="2964"/>
    </row>
    <row r="33" spans="1:24" s="294" customFormat="1" ht="12.6" customHeight="1" thickTop="1">
      <c r="C33" s="3095"/>
      <c r="D33" s="3095"/>
      <c r="E33" s="1742"/>
      <c r="F33" s="346" t="s">
        <v>189</v>
      </c>
      <c r="G33" s="3049">
        <f>SUM(G29:H32)</f>
        <v>8000000</v>
      </c>
      <c r="H33" s="3050"/>
      <c r="J33" s="3049">
        <f>SUM(J29:K32)</f>
        <v>8000000</v>
      </c>
      <c r="K33" s="3050"/>
      <c r="L33" s="1738"/>
      <c r="M33" s="3049">
        <f>SUM(M29:N32)</f>
        <v>0</v>
      </c>
      <c r="N33" s="3050"/>
      <c r="P33" s="3049">
        <f>SUM(P29:Q32)</f>
        <v>0</v>
      </c>
      <c r="Q33" s="3050"/>
      <c r="S33" s="3049">
        <f>SUM(S29:T32)</f>
        <v>0</v>
      </c>
      <c r="T33" s="3050"/>
      <c r="V33" s="2335">
        <f>SUM(V29:V32)</f>
        <v>0</v>
      </c>
      <c r="W33" s="2979"/>
      <c r="X33" s="2980"/>
    </row>
    <row r="34" spans="1:24" s="294" customFormat="1" ht="12" customHeight="1">
      <c r="B34" s="296" t="s">
        <v>2314</v>
      </c>
      <c r="D34" s="3094" t="s">
        <v>3626</v>
      </c>
      <c r="E34" s="3094"/>
      <c r="F34" s="975">
        <f>SUM(F35:F37)</f>
        <v>0.14000000000000001</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5"/>
      <c r="W34" s="294" t="str">
        <f>B34</f>
        <v>CONTRACTOR SERVICES</v>
      </c>
    </row>
    <row r="35" spans="1:24" s="294" customFormat="1" ht="12.6" customHeight="1">
      <c r="B35" s="294" t="s">
        <v>2315</v>
      </c>
      <c r="D35" s="977">
        <f>'DCA Underwriting Assumptions'!$R$73</f>
        <v>0.06</v>
      </c>
      <c r="E35" s="979">
        <f>D35*(G27+G33)</f>
        <v>558000</v>
      </c>
      <c r="F35" s="976">
        <f>IF(($G$27+$G$33)=0,0,G35/($G$27+$G$33))</f>
        <v>0.06</v>
      </c>
      <c r="G35" s="2907">
        <v>558000</v>
      </c>
      <c r="H35" s="2908"/>
      <c r="I35" s="312"/>
      <c r="J35" s="2907">
        <v>558000</v>
      </c>
      <c r="K35" s="2908"/>
      <c r="L35" s="1738"/>
      <c r="M35" s="2907"/>
      <c r="N35" s="2908"/>
      <c r="P35" s="2907"/>
      <c r="Q35" s="2908"/>
      <c r="S35" s="2907"/>
      <c r="T35" s="2908"/>
      <c r="V35" s="2333"/>
      <c r="W35" s="2961"/>
      <c r="X35" s="2962"/>
    </row>
    <row r="36" spans="1:24" s="294" customFormat="1" ht="12.6" customHeight="1">
      <c r="B36" s="294" t="s">
        <v>2692</v>
      </c>
      <c r="D36" s="978">
        <f>'DCA Underwriting Assumptions'!$R$74</f>
        <v>0.02</v>
      </c>
      <c r="E36" s="979">
        <f>D36*(G27+G33)</f>
        <v>186000</v>
      </c>
      <c r="F36" s="976">
        <f>IF(($G$27+$G$33)=0,0,G36/($G$27+$G$33))</f>
        <v>0.02</v>
      </c>
      <c r="G36" s="2891">
        <v>186000</v>
      </c>
      <c r="H36" s="2892"/>
      <c r="I36" s="312"/>
      <c r="J36" s="2891">
        <v>186000</v>
      </c>
      <c r="K36" s="2892"/>
      <c r="L36" s="1738"/>
      <c r="M36" s="2891"/>
      <c r="N36" s="2892"/>
      <c r="P36" s="2891"/>
      <c r="Q36" s="2892"/>
      <c r="S36" s="2891"/>
      <c r="T36" s="2892"/>
      <c r="V36" s="2333"/>
      <c r="W36" s="2961"/>
      <c r="X36" s="2962"/>
    </row>
    <row r="37" spans="1:24" s="294" customFormat="1" ht="12.6" customHeight="1" thickBot="1">
      <c r="B37" s="294" t="s">
        <v>2693</v>
      </c>
      <c r="D37" s="982">
        <f>'DCA Underwriting Assumptions'!$R$75</f>
        <v>0.06</v>
      </c>
      <c r="E37" s="983">
        <f>D37*(G27+G33)</f>
        <v>558000</v>
      </c>
      <c r="F37" s="1224">
        <f>IF(($G$27+$G$33)=0,0,G37/($G$27+$G$33))</f>
        <v>0.06</v>
      </c>
      <c r="G37" s="3056">
        <v>558000</v>
      </c>
      <c r="H37" s="3057"/>
      <c r="I37" s="312"/>
      <c r="J37" s="3056">
        <v>558000</v>
      </c>
      <c r="K37" s="3057"/>
      <c r="L37" s="1738"/>
      <c r="M37" s="3056"/>
      <c r="N37" s="3057"/>
      <c r="P37" s="3056"/>
      <c r="Q37" s="3057"/>
      <c r="S37" s="3056"/>
      <c r="T37" s="3057"/>
      <c r="V37" s="2333"/>
      <c r="W37" s="2963"/>
      <c r="X37" s="2964"/>
    </row>
    <row r="38" spans="1:24" s="294" customFormat="1" ht="12.6" customHeight="1" thickTop="1">
      <c r="B38" s="172" t="s">
        <v>3627</v>
      </c>
      <c r="D38" s="980">
        <f>SUM(D35:D37)</f>
        <v>0.14000000000000001</v>
      </c>
      <c r="E38" s="981">
        <f>SUM(E35:E37)</f>
        <v>1302000</v>
      </c>
      <c r="F38" s="963" t="s">
        <v>189</v>
      </c>
      <c r="G38" s="3049">
        <f>SUM(G35:H37)</f>
        <v>1302000</v>
      </c>
      <c r="H38" s="3050"/>
      <c r="J38" s="3049">
        <f>SUM(J35:K37)</f>
        <v>1302000</v>
      </c>
      <c r="K38" s="3050"/>
      <c r="L38" s="348"/>
      <c r="M38" s="3049">
        <f>SUM(M35:N37)</f>
        <v>0</v>
      </c>
      <c r="N38" s="3050"/>
      <c r="P38" s="3049">
        <f>SUM(P35:Q37)</f>
        <v>0</v>
      </c>
      <c r="Q38" s="3050"/>
      <c r="S38" s="3049">
        <f>SUM(S35:T37)</f>
        <v>0</v>
      </c>
      <c r="T38" s="3050"/>
      <c r="V38" s="2335">
        <f>SUM(V35:V37)</f>
        <v>0</v>
      </c>
      <c r="W38" s="2979"/>
      <c r="X38" s="2980"/>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5"/>
    </row>
    <row r="40" spans="1:24" s="294" customFormat="1" ht="12" customHeight="1">
      <c r="B40" s="296" t="s">
        <v>2697</v>
      </c>
      <c r="J40" s="348"/>
      <c r="K40" s="345"/>
      <c r="M40" s="348"/>
      <c r="N40" s="345"/>
      <c r="O40" s="347" t="str">
        <f>B40</f>
        <v>OTHER CONSTRUCTION HARD COSTS (Non-GC work scope items done by Owner)</v>
      </c>
      <c r="P40" s="348"/>
      <c r="Q40" s="345"/>
      <c r="S40" s="348"/>
      <c r="T40" s="345"/>
      <c r="V40" s="1075"/>
      <c r="W40" s="294" t="str">
        <f>B40</f>
        <v>OTHER CONSTRUCTION HARD COSTS (Non-GC work scope items done by Owner)</v>
      </c>
    </row>
    <row r="41" spans="1:24" ht="12.6" customHeight="1">
      <c r="B41" s="294" t="s">
        <v>730</v>
      </c>
      <c r="C41" s="3047" t="s">
        <v>3610</v>
      </c>
      <c r="D41" s="3092"/>
      <c r="E41" s="3092"/>
      <c r="F41" s="3093"/>
      <c r="G41" s="3074"/>
      <c r="H41" s="3075"/>
      <c r="I41" s="294"/>
      <c r="J41" s="3074"/>
      <c r="K41" s="3075"/>
      <c r="L41" s="1738"/>
      <c r="M41" s="3074"/>
      <c r="N41" s="3075"/>
      <c r="O41" s="294"/>
      <c r="P41" s="3074"/>
      <c r="Q41" s="3075"/>
      <c r="R41" s="294"/>
      <c r="S41" s="3074"/>
      <c r="T41" s="3075"/>
      <c r="V41" s="2333"/>
      <c r="W41" s="3080"/>
      <c r="X41" s="3081"/>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5"/>
      <c r="W42" s="3082"/>
      <c r="X42" s="3083"/>
    </row>
    <row r="43" spans="1:24" s="294" customFormat="1" ht="12.6" customHeight="1">
      <c r="B43" s="505" t="s">
        <v>2701</v>
      </c>
      <c r="C43" s="506"/>
      <c r="E43" s="3086" t="s">
        <v>2700</v>
      </c>
      <c r="F43" s="1740">
        <f>B44/'Part VI-Revenues &amp; Expenses'!$O$65</f>
        <v>126214.28571428571</v>
      </c>
      <c r="G43" s="1741" t="s">
        <v>2725</v>
      </c>
      <c r="H43" s="1724"/>
      <c r="I43" s="1724"/>
      <c r="J43" s="3088">
        <f>B44/'Part VI-Revenues &amp; Expenses'!$O$67</f>
        <v>126214.28571428571</v>
      </c>
      <c r="K43" s="3088"/>
      <c r="L43" s="1724"/>
      <c r="M43" s="3089" t="s">
        <v>1387</v>
      </c>
      <c r="N43" s="3089"/>
      <c r="O43" s="1724"/>
      <c r="P43" s="3088">
        <f>B44/'Part I-Project Information'!$P$75</f>
        <v>136.58850811646482</v>
      </c>
      <c r="Q43" s="3088"/>
      <c r="R43" s="1724"/>
      <c r="S43" s="3090" t="s">
        <v>2732</v>
      </c>
      <c r="T43" s="3091"/>
      <c r="V43" s="1075"/>
      <c r="W43" s="3082"/>
      <c r="X43" s="3083"/>
    </row>
    <row r="44" spans="1:24" s="294" customFormat="1" ht="12.6" customHeight="1">
      <c r="B44" s="3076">
        <f>G27+G33+G38+G41</f>
        <v>10602000</v>
      </c>
      <c r="C44" s="3077"/>
      <c r="E44" s="3087"/>
      <c r="F44" s="1739">
        <f>B44/'Part VI-Revenues &amp; Expenses'!$O$154</f>
        <v>142.07987134816403</v>
      </c>
      <c r="G44" s="504" t="s">
        <v>2726</v>
      </c>
      <c r="H44" s="1736"/>
      <c r="I44" s="1736"/>
      <c r="J44" s="3078">
        <f>B44/'Part VI-Revenues &amp; Expenses'!$O$156</f>
        <v>142.07987134816403</v>
      </c>
      <c r="K44" s="3078"/>
      <c r="L44" s="1736"/>
      <c r="M44" s="3079" t="s">
        <v>2731</v>
      </c>
      <c r="N44" s="3079"/>
      <c r="O44" s="1736"/>
      <c r="P44" s="1736"/>
      <c r="Q44" s="1736"/>
      <c r="R44" s="1736"/>
      <c r="S44" s="1736"/>
      <c r="T44" s="338"/>
      <c r="V44" s="1075"/>
      <c r="W44" s="3084"/>
      <c r="X44" s="3085"/>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5"/>
    </row>
    <row r="46" spans="1:24" s="294" customFormat="1" ht="12" customHeight="1">
      <c r="B46" s="296" t="s">
        <v>1113</v>
      </c>
      <c r="F46" s="1223" t="s">
        <v>3984</v>
      </c>
      <c r="J46" s="348"/>
      <c r="K46" s="345"/>
      <c r="M46" s="348"/>
      <c r="N46" s="345"/>
      <c r="O46" s="347" t="str">
        <f>B46</f>
        <v>CONSTRUCTION CONTINGENCY</v>
      </c>
      <c r="P46" s="348"/>
      <c r="Q46" s="345"/>
      <c r="S46" s="348"/>
      <c r="T46" s="345"/>
      <c r="V46" s="1075"/>
      <c r="W46" s="294" t="str">
        <f>B46</f>
        <v>CONSTRUCTION CONTINGENCY</v>
      </c>
    </row>
    <row r="47" spans="1:24" ht="12.6" customHeight="1">
      <c r="B47" s="294" t="s">
        <v>1935</v>
      </c>
      <c r="D47" s="519" t="s">
        <v>3983</v>
      </c>
      <c r="E47" s="122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530100</v>
      </c>
      <c r="F47" s="350">
        <f>G47/B44</f>
        <v>0.05</v>
      </c>
      <c r="G47" s="3074">
        <v>530100</v>
      </c>
      <c r="H47" s="3075"/>
      <c r="I47" s="294"/>
      <c r="J47" s="3074">
        <v>530100</v>
      </c>
      <c r="K47" s="3075"/>
      <c r="L47" s="1738"/>
      <c r="M47" s="3074"/>
      <c r="N47" s="3075"/>
      <c r="O47" s="294"/>
      <c r="P47" s="3074"/>
      <c r="Q47" s="3075"/>
      <c r="R47" s="294"/>
      <c r="S47" s="3074"/>
      <c r="T47" s="3075"/>
      <c r="V47" s="2333"/>
      <c r="W47" s="2961"/>
      <c r="X47" s="2962"/>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5"/>
    </row>
    <row r="49" spans="1:24" s="294" customFormat="1" ht="18.75" customHeight="1" thickBot="1">
      <c r="A49" s="422" t="s">
        <v>605</v>
      </c>
      <c r="B49" s="422" t="s">
        <v>2790</v>
      </c>
      <c r="H49" s="1726"/>
      <c r="I49" s="1726"/>
      <c r="J49" s="3035" t="s">
        <v>268</v>
      </c>
      <c r="K49" s="3036"/>
      <c r="L49" s="345"/>
      <c r="M49" s="3066" t="s">
        <v>484</v>
      </c>
      <c r="N49" s="3067"/>
      <c r="P49" s="3035" t="s">
        <v>269</v>
      </c>
      <c r="Q49" s="3036"/>
      <c r="S49" s="3035" t="s">
        <v>270</v>
      </c>
      <c r="T49" s="3036"/>
      <c r="V49" s="1075"/>
      <c r="W49" s="423" t="str">
        <f>B49</f>
        <v>DEVELOPMENT BUDGET (cont'd)</v>
      </c>
    </row>
    <row r="50" spans="1:24" s="294" customFormat="1" ht="18.75" customHeight="1" thickBot="1">
      <c r="G50" s="3070" t="s">
        <v>99</v>
      </c>
      <c r="H50" s="3071"/>
      <c r="J50" s="3037"/>
      <c r="K50" s="3038"/>
      <c r="L50" s="345"/>
      <c r="M50" s="3068"/>
      <c r="N50" s="3069"/>
      <c r="P50" s="3037"/>
      <c r="Q50" s="3038"/>
      <c r="S50" s="3037"/>
      <c r="T50" s="3038"/>
      <c r="V50" s="1075"/>
      <c r="W50" s="2981" t="s">
        <v>2646</v>
      </c>
      <c r="X50" s="2981"/>
    </row>
    <row r="51" spans="1:24" s="294" customFormat="1" ht="12" customHeight="1">
      <c r="B51" s="296" t="s">
        <v>711</v>
      </c>
      <c r="J51" s="348"/>
      <c r="K51" s="345"/>
      <c r="M51" s="348"/>
      <c r="N51" s="345"/>
      <c r="O51" s="347" t="str">
        <f>B51</f>
        <v>CONSTRUCTION PERIOD FINANCING</v>
      </c>
      <c r="P51" s="348"/>
      <c r="Q51" s="345"/>
      <c r="S51" s="348"/>
      <c r="T51" s="345"/>
      <c r="V51" s="1075"/>
      <c r="W51" s="294" t="str">
        <f>B51</f>
        <v>CONSTRUCTION PERIOD FINANCING</v>
      </c>
    </row>
    <row r="52" spans="1:24" s="294" customFormat="1" ht="12" customHeight="1">
      <c r="B52" s="294" t="s">
        <v>3628</v>
      </c>
      <c r="G52" s="2907"/>
      <c r="H52" s="2908"/>
      <c r="J52" s="2907"/>
      <c r="K52" s="2908"/>
      <c r="L52" s="1738"/>
      <c r="M52" s="2907"/>
      <c r="N52" s="2908"/>
      <c r="P52" s="2907"/>
      <c r="Q52" s="2908"/>
      <c r="S52" s="2907"/>
      <c r="T52" s="2908"/>
      <c r="V52" s="2336"/>
      <c r="W52" s="2961"/>
      <c r="X52" s="2962"/>
    </row>
    <row r="53" spans="1:24" s="294" customFormat="1" ht="12" customHeight="1">
      <c r="B53" s="294" t="s">
        <v>3629</v>
      </c>
      <c r="G53" s="2891"/>
      <c r="H53" s="2892"/>
      <c r="J53" s="2891"/>
      <c r="K53" s="2892"/>
      <c r="L53" s="1738"/>
      <c r="M53" s="2891"/>
      <c r="N53" s="2892"/>
      <c r="P53" s="2891"/>
      <c r="Q53" s="2892"/>
      <c r="S53" s="2891"/>
      <c r="T53" s="2892"/>
      <c r="V53" s="2336"/>
      <c r="W53" s="2961"/>
      <c r="X53" s="2962"/>
    </row>
    <row r="54" spans="1:24" s="294" customFormat="1" ht="12" customHeight="1">
      <c r="B54" s="294" t="s">
        <v>2317</v>
      </c>
      <c r="G54" s="2891">
        <f>4500000*0.75%</f>
        <v>33750</v>
      </c>
      <c r="H54" s="2892"/>
      <c r="J54" s="2891">
        <v>20750</v>
      </c>
      <c r="K54" s="2892"/>
      <c r="L54" s="1738"/>
      <c r="M54" s="2891"/>
      <c r="N54" s="2892"/>
      <c r="P54" s="2891"/>
      <c r="Q54" s="2892"/>
      <c r="S54" s="2891">
        <v>13000</v>
      </c>
      <c r="T54" s="2892"/>
      <c r="V54" s="2336"/>
      <c r="W54" s="2961"/>
      <c r="X54" s="2962"/>
    </row>
    <row r="55" spans="1:24" s="294" customFormat="1" ht="12" customHeight="1">
      <c r="B55" s="294" t="s">
        <v>2318</v>
      </c>
      <c r="G55" s="2891">
        <f>120000+55000</f>
        <v>175000</v>
      </c>
      <c r="H55" s="2892"/>
      <c r="J55" s="2891">
        <f>60000-21500+55000</f>
        <v>93500</v>
      </c>
      <c r="K55" s="2892"/>
      <c r="L55" s="1738"/>
      <c r="M55" s="2891"/>
      <c r="N55" s="2892"/>
      <c r="P55" s="2891"/>
      <c r="Q55" s="2892"/>
      <c r="S55" s="2891">
        <f>120000-60000+21500</f>
        <v>81500</v>
      </c>
      <c r="T55" s="2892"/>
      <c r="V55" s="2336"/>
      <c r="W55" s="2961"/>
      <c r="X55" s="2962"/>
    </row>
    <row r="56" spans="1:24" s="294" customFormat="1" ht="12" customHeight="1">
      <c r="B56" s="294" t="s">
        <v>2319</v>
      </c>
      <c r="G56" s="2891">
        <f>25000</f>
        <v>25000</v>
      </c>
      <c r="H56" s="2892"/>
      <c r="J56" s="2891">
        <f>15000</f>
        <v>15000</v>
      </c>
      <c r="K56" s="2892"/>
      <c r="L56" s="1738"/>
      <c r="M56" s="2891"/>
      <c r="N56" s="2892"/>
      <c r="P56" s="2891"/>
      <c r="Q56" s="2892"/>
      <c r="S56" s="2891">
        <v>10000</v>
      </c>
      <c r="T56" s="2892"/>
      <c r="V56" s="2336"/>
      <c r="W56" s="2961"/>
      <c r="X56" s="2962"/>
    </row>
    <row r="57" spans="1:24" s="294" customFormat="1" ht="12" customHeight="1">
      <c r="B57" s="294" t="s">
        <v>2650</v>
      </c>
      <c r="G57" s="2891">
        <v>18000</v>
      </c>
      <c r="H57" s="2892"/>
      <c r="J57" s="2891">
        <v>18000</v>
      </c>
      <c r="K57" s="2892"/>
      <c r="L57" s="1738"/>
      <c r="M57" s="2891"/>
      <c r="N57" s="2892"/>
      <c r="P57" s="2891"/>
      <c r="Q57" s="2892"/>
      <c r="S57" s="2891"/>
      <c r="T57" s="2892"/>
      <c r="V57" s="2336"/>
      <c r="W57" s="2961"/>
      <c r="X57" s="2962"/>
    </row>
    <row r="58" spans="1:24" s="294" customFormat="1" ht="12" customHeight="1">
      <c r="B58" s="294" t="s">
        <v>712</v>
      </c>
      <c r="G58" s="2891">
        <v>25000</v>
      </c>
      <c r="H58" s="2892"/>
      <c r="J58" s="2891">
        <v>25000</v>
      </c>
      <c r="K58" s="2892"/>
      <c r="L58" s="1738"/>
      <c r="M58" s="2891"/>
      <c r="N58" s="2892"/>
      <c r="P58" s="2891"/>
      <c r="Q58" s="2892"/>
      <c r="S58" s="2891"/>
      <c r="T58" s="2892"/>
      <c r="V58" s="2336"/>
      <c r="W58" s="2961"/>
      <c r="X58" s="2962"/>
    </row>
    <row r="59" spans="1:24" s="294" customFormat="1" ht="12" customHeight="1">
      <c r="B59" s="294" t="s">
        <v>2320</v>
      </c>
      <c r="G59" s="2891">
        <f>25000+38000</f>
        <v>63000</v>
      </c>
      <c r="H59" s="2892"/>
      <c r="J59" s="2891">
        <v>25000</v>
      </c>
      <c r="K59" s="2892"/>
      <c r="L59" s="1738"/>
      <c r="M59" s="2891"/>
      <c r="N59" s="2892"/>
      <c r="P59" s="2891"/>
      <c r="Q59" s="2892"/>
      <c r="S59" s="2891"/>
      <c r="T59" s="2892"/>
      <c r="V59" s="2336"/>
      <c r="W59" s="2961"/>
      <c r="X59" s="2962"/>
    </row>
    <row r="60" spans="1:24" s="294" customFormat="1" ht="12" customHeight="1">
      <c r="B60" s="294" t="s">
        <v>1261</v>
      </c>
      <c r="G60" s="2891">
        <v>40000</v>
      </c>
      <c r="H60" s="2892"/>
      <c r="J60" s="2891"/>
      <c r="K60" s="2892"/>
      <c r="L60" s="1738"/>
      <c r="M60" s="2891"/>
      <c r="N60" s="2892"/>
      <c r="P60" s="2891"/>
      <c r="Q60" s="2892"/>
      <c r="S60" s="2891">
        <v>40000</v>
      </c>
      <c r="T60" s="2892"/>
      <c r="V60" s="2336"/>
      <c r="W60" s="2961"/>
      <c r="X60" s="2962"/>
    </row>
    <row r="61" spans="1:24" s="294" customFormat="1" ht="12" customHeight="1">
      <c r="B61" s="352" t="s">
        <v>1140</v>
      </c>
      <c r="D61" s="350"/>
      <c r="E61" s="350"/>
      <c r="F61" s="351"/>
      <c r="G61" s="2891">
        <v>53010</v>
      </c>
      <c r="H61" s="2892"/>
      <c r="I61" s="312"/>
      <c r="J61" s="2891">
        <v>53010</v>
      </c>
      <c r="K61" s="2892"/>
      <c r="L61" s="1738"/>
      <c r="M61" s="2891"/>
      <c r="N61" s="2892"/>
      <c r="P61" s="2891"/>
      <c r="Q61" s="2892"/>
      <c r="S61" s="2891"/>
      <c r="T61" s="2892"/>
      <c r="V61" s="2336"/>
      <c r="W61" s="2961"/>
      <c r="X61" s="2962"/>
    </row>
    <row r="62" spans="1:24" s="294" customFormat="1" ht="12" customHeight="1">
      <c r="A62" s="372" t="str">
        <f>IF(AND(G62&gt;0,OR(C62="",C62="&lt;Enter detailed description here; use Comments section if needed&gt;")),"X","")</f>
        <v/>
      </c>
      <c r="B62" s="294" t="s">
        <v>730</v>
      </c>
      <c r="C62" s="3062" t="s">
        <v>4896</v>
      </c>
      <c r="D62" s="3062"/>
      <c r="E62" s="3062"/>
      <c r="F62" s="3063"/>
      <c r="G62" s="2891">
        <v>25000</v>
      </c>
      <c r="H62" s="2892"/>
      <c r="J62" s="2891">
        <v>10000</v>
      </c>
      <c r="K62" s="2892"/>
      <c r="L62" s="1738"/>
      <c r="M62" s="2891"/>
      <c r="N62" s="2892"/>
      <c r="P62" s="2891"/>
      <c r="Q62" s="2892"/>
      <c r="S62" s="2891">
        <v>15000</v>
      </c>
      <c r="T62" s="2892"/>
      <c r="U62" s="371" t="str">
        <f>IF(AND(G62&gt;0,OR(C62="",C62="&lt;Enter detailed description here; use Comments section if needed&gt;")),"NO DESCRIPTION PROVIDED - please enter detailed description in Other box at left; use Comments section below if needed.","")</f>
        <v/>
      </c>
      <c r="V62" s="2336"/>
      <c r="W62" s="2961"/>
      <c r="X62" s="2962"/>
    </row>
    <row r="63" spans="1:24" s="294" customFormat="1" ht="12" customHeight="1" thickBot="1">
      <c r="A63" s="372" t="str">
        <f>IF(AND(G63&gt;0,OR(C63="",C63="&lt;Enter detailed description here; use Comments section if needed&gt;")),"X","")</f>
        <v/>
      </c>
      <c r="B63" s="294" t="s">
        <v>730</v>
      </c>
      <c r="C63" s="3064" t="s">
        <v>4894</v>
      </c>
      <c r="D63" s="3064"/>
      <c r="E63" s="3064"/>
      <c r="F63" s="3065"/>
      <c r="G63" s="2895">
        <f>1500+1500+1500</f>
        <v>4500</v>
      </c>
      <c r="H63" s="2896"/>
      <c r="J63" s="2895">
        <v>1500</v>
      </c>
      <c r="K63" s="2896"/>
      <c r="L63" s="1738"/>
      <c r="M63" s="2895"/>
      <c r="N63" s="2896"/>
      <c r="P63" s="2895"/>
      <c r="Q63" s="2896"/>
      <c r="S63" s="2895">
        <v>3000</v>
      </c>
      <c r="T63" s="2896"/>
      <c r="U63" s="371" t="str">
        <f>IF(AND(G63&gt;0,OR(C63="",C63="&lt;Enter detailed description here; use Comments section if needed&gt;")),"NO DESCRIPTION PROVIDED - please enter detailed description in Other box at left; use Comments section below if needed.","")</f>
        <v/>
      </c>
      <c r="V63" s="2336"/>
      <c r="W63" s="2963"/>
      <c r="X63" s="2964"/>
    </row>
    <row r="64" spans="1:24" s="294" customFormat="1" ht="12" customHeight="1" thickTop="1">
      <c r="F64" s="346" t="s">
        <v>189</v>
      </c>
      <c r="G64" s="3049">
        <f>SUM(G52:H63)</f>
        <v>462260</v>
      </c>
      <c r="H64" s="3050"/>
      <c r="J64" s="3049">
        <f>SUM(J52:K63)</f>
        <v>261760</v>
      </c>
      <c r="K64" s="3050"/>
      <c r="L64" s="348"/>
      <c r="M64" s="3049">
        <f>SUM(M52:N63)</f>
        <v>0</v>
      </c>
      <c r="N64" s="3050"/>
      <c r="P64" s="3049">
        <f>SUM(P52:Q63)</f>
        <v>0</v>
      </c>
      <c r="Q64" s="3050"/>
      <c r="S64" s="3049">
        <f>SUM(S52:T63)</f>
        <v>162500</v>
      </c>
      <c r="T64" s="3050"/>
      <c r="V64" s="2337">
        <f>SUM(V52:V63)</f>
        <v>0</v>
      </c>
      <c r="W64" s="2979"/>
      <c r="X64" s="2980"/>
    </row>
    <row r="65" spans="1:24" s="294" customFormat="1" ht="12" customHeight="1">
      <c r="B65" s="296" t="s">
        <v>472</v>
      </c>
      <c r="G65" s="345"/>
      <c r="H65" s="345"/>
      <c r="J65" s="345"/>
      <c r="K65" s="345"/>
      <c r="M65" s="345"/>
      <c r="N65" s="345"/>
      <c r="O65" s="347" t="str">
        <f>B65</f>
        <v>PROFESSIONAL SERVICES</v>
      </c>
      <c r="P65" s="345"/>
      <c r="Q65" s="345"/>
      <c r="S65" s="345"/>
      <c r="T65" s="345"/>
      <c r="V65" s="1075"/>
      <c r="W65" s="294" t="str">
        <f>B65</f>
        <v>PROFESSIONAL SERVICES</v>
      </c>
    </row>
    <row r="66" spans="1:24" s="294" customFormat="1" ht="12" customHeight="1">
      <c r="B66" s="294" t="s">
        <v>473</v>
      </c>
      <c r="G66" s="2907">
        <f>360000+7500</f>
        <v>367500</v>
      </c>
      <c r="H66" s="2908"/>
      <c r="J66" s="2907">
        <v>367500</v>
      </c>
      <c r="K66" s="2908"/>
      <c r="L66" s="1738"/>
      <c r="M66" s="2907"/>
      <c r="N66" s="2908"/>
      <c r="P66" s="2907"/>
      <c r="Q66" s="2908"/>
      <c r="S66" s="2907"/>
      <c r="T66" s="2908"/>
      <c r="V66" s="2333"/>
      <c r="W66" s="2961"/>
      <c r="X66" s="2962"/>
    </row>
    <row r="67" spans="1:24" s="294" customFormat="1" ht="12" customHeight="1">
      <c r="B67" s="294" t="s">
        <v>474</v>
      </c>
      <c r="G67" s="2891">
        <v>85000</v>
      </c>
      <c r="H67" s="2892"/>
      <c r="J67" s="2891">
        <v>85000</v>
      </c>
      <c r="K67" s="2892"/>
      <c r="L67" s="1738"/>
      <c r="M67" s="2891"/>
      <c r="N67" s="2892"/>
      <c r="P67" s="2891"/>
      <c r="Q67" s="2892"/>
      <c r="S67" s="2891"/>
      <c r="T67" s="2892"/>
      <c r="V67" s="2333"/>
      <c r="W67" s="2961"/>
      <c r="X67" s="2962"/>
    </row>
    <row r="68" spans="1:24" s="294" customFormat="1" ht="12" customHeight="1">
      <c r="B68" s="294" t="s">
        <v>1114</v>
      </c>
      <c r="D68" s="306" t="s">
        <v>3720</v>
      </c>
      <c r="E68" s="1067">
        <f>'DCA Underwriting Assumptions'!R76</f>
        <v>20000</v>
      </c>
      <c r="F68" s="1068" t="str">
        <f>IF(G68&gt;E68,"CHECK!!!","")</f>
        <v/>
      </c>
      <c r="G68" s="2891">
        <v>20000</v>
      </c>
      <c r="H68" s="2892"/>
      <c r="J68" s="2891">
        <v>20000</v>
      </c>
      <c r="K68" s="2892"/>
      <c r="L68" s="1738"/>
      <c r="M68" s="2891"/>
      <c r="N68" s="2892"/>
      <c r="P68" s="2891"/>
      <c r="Q68" s="2892"/>
      <c r="S68" s="2891"/>
      <c r="T68" s="2892"/>
      <c r="V68" s="2333"/>
      <c r="W68" s="2961"/>
      <c r="X68" s="2962"/>
    </row>
    <row r="69" spans="1:24" s="294" customFormat="1" ht="12" customHeight="1">
      <c r="B69" s="294" t="s">
        <v>1115</v>
      </c>
      <c r="G69" s="2891">
        <v>10000</v>
      </c>
      <c r="H69" s="2892"/>
      <c r="J69" s="2891">
        <v>10000</v>
      </c>
      <c r="K69" s="2892"/>
      <c r="L69" s="1738"/>
      <c r="M69" s="2891"/>
      <c r="N69" s="2892"/>
      <c r="P69" s="2891"/>
      <c r="Q69" s="2892"/>
      <c r="S69" s="2891"/>
      <c r="T69" s="2892"/>
      <c r="V69" s="2333"/>
      <c r="W69" s="2961"/>
      <c r="X69" s="2962"/>
    </row>
    <row r="70" spans="1:24" s="294" customFormat="1" ht="12" customHeight="1">
      <c r="B70" s="294" t="s">
        <v>1116</v>
      </c>
      <c r="G70" s="2891">
        <v>6500</v>
      </c>
      <c r="H70" s="2892"/>
      <c r="J70" s="2891">
        <v>6500</v>
      </c>
      <c r="K70" s="2892"/>
      <c r="L70" s="1738"/>
      <c r="M70" s="2891"/>
      <c r="N70" s="2892"/>
      <c r="P70" s="2891"/>
      <c r="Q70" s="2892"/>
      <c r="S70" s="2891"/>
      <c r="T70" s="2892"/>
      <c r="V70" s="2333"/>
      <c r="W70" s="2961"/>
      <c r="X70" s="2962"/>
    </row>
    <row r="71" spans="1:24" s="294" customFormat="1" ht="12" customHeight="1">
      <c r="B71" s="294" t="s">
        <v>1117</v>
      </c>
      <c r="G71" s="2891">
        <v>50000</v>
      </c>
      <c r="H71" s="2892"/>
      <c r="J71" s="2891">
        <v>50000</v>
      </c>
      <c r="K71" s="2892"/>
      <c r="L71" s="1738"/>
      <c r="M71" s="2891"/>
      <c r="N71" s="2892"/>
      <c r="P71" s="2891"/>
      <c r="Q71" s="2892"/>
      <c r="S71" s="2891"/>
      <c r="T71" s="2892"/>
      <c r="V71" s="2333"/>
      <c r="W71" s="2961"/>
      <c r="X71" s="2962"/>
    </row>
    <row r="72" spans="1:24" s="294" customFormat="1" ht="12" customHeight="1">
      <c r="B72" s="294" t="s">
        <v>475</v>
      </c>
      <c r="G72" s="2891">
        <f>90000+40000+2500</f>
        <v>132500</v>
      </c>
      <c r="H72" s="2892"/>
      <c r="J72" s="2891">
        <f>90000+40000+2500</f>
        <v>132500</v>
      </c>
      <c r="K72" s="2892"/>
      <c r="L72" s="1738"/>
      <c r="M72" s="2891"/>
      <c r="N72" s="2892"/>
      <c r="P72" s="2891"/>
      <c r="Q72" s="2892"/>
      <c r="S72" s="2891"/>
      <c r="T72" s="2892"/>
      <c r="V72" s="2333"/>
      <c r="W72" s="2961"/>
      <c r="X72" s="2962"/>
    </row>
    <row r="73" spans="1:24" s="294" customFormat="1" ht="12" customHeight="1">
      <c r="B73" s="294" t="s">
        <v>476</v>
      </c>
      <c r="G73" s="2891">
        <f>150000+20000</f>
        <v>170000</v>
      </c>
      <c r="H73" s="2892"/>
      <c r="J73" s="2891">
        <f>30000+20000+15000</f>
        <v>65000</v>
      </c>
      <c r="K73" s="2892"/>
      <c r="L73" s="1738"/>
      <c r="M73" s="2891"/>
      <c r="N73" s="2892"/>
      <c r="P73" s="2891"/>
      <c r="Q73" s="2892"/>
      <c r="S73" s="2891">
        <f>120000-15000</f>
        <v>105000</v>
      </c>
      <c r="T73" s="2892"/>
      <c r="V73" s="2333"/>
      <c r="W73" s="2961"/>
      <c r="X73" s="2962"/>
    </row>
    <row r="74" spans="1:24" s="294" customFormat="1" ht="12" customHeight="1">
      <c r="B74" s="294" t="s">
        <v>2023</v>
      </c>
      <c r="G74" s="2891">
        <f>7500+14470+14470</f>
        <v>36440</v>
      </c>
      <c r="H74" s="2892"/>
      <c r="J74" s="2891">
        <f>7500+14470+14470</f>
        <v>36440</v>
      </c>
      <c r="K74" s="2892"/>
      <c r="L74" s="1738"/>
      <c r="M74" s="2891"/>
      <c r="N74" s="2892"/>
      <c r="P74" s="2891"/>
      <c r="Q74" s="2892"/>
      <c r="S74" s="2891"/>
      <c r="T74" s="2892"/>
      <c r="V74" s="2333"/>
      <c r="W74" s="2961"/>
      <c r="X74" s="2962"/>
    </row>
    <row r="75" spans="1:24" s="294" customFormat="1" ht="12" customHeight="1">
      <c r="B75" s="294" t="s">
        <v>1262</v>
      </c>
      <c r="G75" s="2891">
        <v>12500</v>
      </c>
      <c r="H75" s="2892"/>
      <c r="J75" s="2891">
        <v>12500</v>
      </c>
      <c r="K75" s="2892"/>
      <c r="L75" s="1738"/>
      <c r="M75" s="2891"/>
      <c r="N75" s="2892"/>
      <c r="P75" s="2891"/>
      <c r="Q75" s="2892"/>
      <c r="S75" s="2891"/>
      <c r="T75" s="2892"/>
      <c r="V75" s="2333"/>
      <c r="W75" s="2961"/>
      <c r="X75" s="2962"/>
    </row>
    <row r="76" spans="1:24" s="294" customFormat="1" ht="12" customHeight="1" thickBot="1">
      <c r="A76" s="372" t="str">
        <f>IF(AND(G76&gt;0,OR(C76="",C76="&lt;Enter detailed description here; use Comments section if needed&gt;")),"X","")</f>
        <v/>
      </c>
      <c r="B76" s="294" t="s">
        <v>730</v>
      </c>
      <c r="C76" s="3047" t="s">
        <v>3610</v>
      </c>
      <c r="D76" s="3047"/>
      <c r="E76" s="3047"/>
      <c r="F76" s="3048"/>
      <c r="G76" s="2895"/>
      <c r="H76" s="2896"/>
      <c r="J76" s="2895"/>
      <c r="K76" s="2896"/>
      <c r="L76" s="1738"/>
      <c r="M76" s="2895"/>
      <c r="N76" s="2896"/>
      <c r="P76" s="2895"/>
      <c r="Q76" s="2896"/>
      <c r="S76" s="2895"/>
      <c r="T76" s="2896"/>
      <c r="U76" s="371" t="str">
        <f>IF(AND(G76&gt;0,OR(C76="",C76="&lt;Enter detailed description here; use Comments section if needed&gt;")),"NO DESCRIPTION PROVIDED - please enter detailed description in Other box at left; use Comments section below if needed.","")</f>
        <v/>
      </c>
      <c r="V76" s="2333"/>
      <c r="W76" s="2963"/>
      <c r="X76" s="2964"/>
    </row>
    <row r="77" spans="1:24" s="294" customFormat="1" ht="12" customHeight="1" thickTop="1">
      <c r="F77" s="346" t="s">
        <v>189</v>
      </c>
      <c r="G77" s="3049">
        <f>SUM(G66:H76)</f>
        <v>890440</v>
      </c>
      <c r="H77" s="3050"/>
      <c r="J77" s="3049">
        <f>SUM(J66:K76)</f>
        <v>785440</v>
      </c>
      <c r="K77" s="3050"/>
      <c r="L77" s="348"/>
      <c r="M77" s="3049">
        <f>SUM(M66:N76)</f>
        <v>0</v>
      </c>
      <c r="N77" s="3050"/>
      <c r="P77" s="3049">
        <f>SUM(P66:Q76)</f>
        <v>0</v>
      </c>
      <c r="Q77" s="3050"/>
      <c r="S77" s="3049">
        <f>SUM(S66:T76)</f>
        <v>105000</v>
      </c>
      <c r="T77" s="3050"/>
      <c r="V77" s="2335">
        <f>SUM(V66:V76)</f>
        <v>0</v>
      </c>
      <c r="W77" s="2979"/>
      <c r="X77" s="2980"/>
    </row>
    <row r="78" spans="1:24" ht="12" customHeight="1">
      <c r="A78" s="294"/>
      <c r="B78" s="296" t="s">
        <v>1254</v>
      </c>
      <c r="C78" s="294"/>
      <c r="D78" s="907" t="s">
        <v>3630</v>
      </c>
      <c r="E78" s="985">
        <f>G83/'Part VI-Revenues &amp; Expenses'!$O$67</f>
        <v>2384.3452380952381</v>
      </c>
      <c r="F78" s="294"/>
      <c r="G78" s="294"/>
      <c r="H78" s="294"/>
      <c r="I78" s="294"/>
      <c r="J78" s="348"/>
      <c r="K78" s="348"/>
      <c r="M78" s="348"/>
      <c r="N78" s="348"/>
      <c r="O78" s="347" t="str">
        <f>B78</f>
        <v>LOCAL GOVERNMENT FEES</v>
      </c>
      <c r="P78" s="348"/>
      <c r="Q78" s="348"/>
      <c r="S78" s="348"/>
      <c r="T78" s="348"/>
      <c r="V78" s="1075"/>
      <c r="W78" s="294" t="str">
        <f>B78</f>
        <v>LOCAL GOVERNMENT FEES</v>
      </c>
    </row>
    <row r="79" spans="1:24" s="294" customFormat="1" ht="12" customHeight="1">
      <c r="B79" s="294" t="s">
        <v>1255</v>
      </c>
      <c r="G79" s="2907">
        <v>90285</v>
      </c>
      <c r="H79" s="2908"/>
      <c r="J79" s="2907">
        <v>90285</v>
      </c>
      <c r="K79" s="2908"/>
      <c r="L79" s="1738"/>
      <c r="M79" s="2907"/>
      <c r="N79" s="2908"/>
      <c r="P79" s="2907"/>
      <c r="Q79" s="2908"/>
      <c r="S79" s="2907"/>
      <c r="T79" s="2908"/>
      <c r="V79" s="2333"/>
      <c r="W79" s="2961"/>
      <c r="X79" s="2962"/>
    </row>
    <row r="80" spans="1:24" s="294" customFormat="1" ht="12" customHeight="1">
      <c r="B80" s="294" t="s">
        <v>1256</v>
      </c>
      <c r="G80" s="2891">
        <v>85000</v>
      </c>
      <c r="H80" s="2892"/>
      <c r="J80" s="2891">
        <v>85000</v>
      </c>
      <c r="K80" s="2892"/>
      <c r="L80" s="1738"/>
      <c r="M80" s="2891"/>
      <c r="N80" s="2892"/>
      <c r="P80" s="2891"/>
      <c r="Q80" s="2892"/>
      <c r="S80" s="2891"/>
      <c r="T80" s="2892"/>
      <c r="V80" s="2333"/>
      <c r="W80" s="2961"/>
      <c r="X80" s="2962"/>
    </row>
    <row r="81" spans="1:24" s="294" customFormat="1" ht="12" customHeight="1">
      <c r="B81" s="294" t="s">
        <v>1257</v>
      </c>
      <c r="D81" s="354" t="s">
        <v>1388</v>
      </c>
      <c r="E81" s="2338" t="s">
        <v>2936</v>
      </c>
      <c r="G81" s="2891">
        <f>25000/2</f>
        <v>12500</v>
      </c>
      <c r="H81" s="2892"/>
      <c r="I81" s="312"/>
      <c r="J81" s="2891">
        <v>12500</v>
      </c>
      <c r="K81" s="2892"/>
      <c r="L81" s="1738"/>
      <c r="M81" s="2891"/>
      <c r="N81" s="2892"/>
      <c r="P81" s="2891"/>
      <c r="Q81" s="2892"/>
      <c r="S81" s="2891"/>
      <c r="T81" s="2892"/>
      <c r="V81" s="2333"/>
      <c r="W81" s="2961"/>
      <c r="X81" s="2962"/>
    </row>
    <row r="82" spans="1:24" s="294" customFormat="1" ht="12" customHeight="1" thickBot="1">
      <c r="B82" s="294" t="s">
        <v>1258</v>
      </c>
      <c r="D82" s="354" t="s">
        <v>1388</v>
      </c>
      <c r="E82" s="2339" t="s">
        <v>2936</v>
      </c>
      <c r="G82" s="2895">
        <v>12500</v>
      </c>
      <c r="H82" s="2896"/>
      <c r="I82" s="312"/>
      <c r="J82" s="2895">
        <v>12500</v>
      </c>
      <c r="K82" s="2896"/>
      <c r="L82" s="1738"/>
      <c r="M82" s="2895"/>
      <c r="N82" s="2896"/>
      <c r="P82" s="2895"/>
      <c r="Q82" s="2896"/>
      <c r="S82" s="2895"/>
      <c r="T82" s="2896"/>
      <c r="V82" s="2333"/>
      <c r="W82" s="2963"/>
      <c r="X82" s="2964"/>
    </row>
    <row r="83" spans="1:24" s="294" customFormat="1" ht="12" customHeight="1" thickTop="1">
      <c r="F83" s="346" t="s">
        <v>189</v>
      </c>
      <c r="G83" s="3049">
        <f>SUM(G79:H82)</f>
        <v>200285</v>
      </c>
      <c r="H83" s="3050"/>
      <c r="J83" s="3049">
        <f>SUM(J79:K82)</f>
        <v>200285</v>
      </c>
      <c r="K83" s="3050"/>
      <c r="L83" s="348"/>
      <c r="M83" s="3049">
        <f>SUM(M79:N82)</f>
        <v>0</v>
      </c>
      <c r="N83" s="3050"/>
      <c r="P83" s="3049">
        <f>SUM(P79:Q82)</f>
        <v>0</v>
      </c>
      <c r="Q83" s="3050"/>
      <c r="S83" s="3049">
        <f>SUM(S79:T82)</f>
        <v>0</v>
      </c>
      <c r="T83" s="3050"/>
      <c r="V83" s="2335">
        <f>SUM(V79:V82)</f>
        <v>0</v>
      </c>
      <c r="W83" s="2979"/>
      <c r="X83" s="2980"/>
    </row>
    <row r="84" spans="1:24" s="294" customFormat="1" ht="12" customHeight="1">
      <c r="B84" s="296" t="s">
        <v>713</v>
      </c>
      <c r="J84" s="348"/>
      <c r="K84" s="348"/>
      <c r="M84" s="348"/>
      <c r="N84" s="348"/>
      <c r="O84" s="347" t="str">
        <f>B84</f>
        <v>PERMANENT FINANCING FEES</v>
      </c>
      <c r="P84" s="348"/>
      <c r="Q84" s="348"/>
      <c r="S84" s="348"/>
      <c r="T84" s="348"/>
      <c r="V84" s="1075"/>
      <c r="W84" s="294" t="str">
        <f>B84</f>
        <v>PERMANENT FINANCING FEES</v>
      </c>
    </row>
    <row r="85" spans="1:24" s="294" customFormat="1" ht="12" customHeight="1">
      <c r="B85" s="294" t="s">
        <v>1259</v>
      </c>
      <c r="G85" s="2907">
        <f>2400000*0.01</f>
        <v>24000</v>
      </c>
      <c r="H85" s="2908"/>
      <c r="J85" s="3061"/>
      <c r="K85" s="3061"/>
      <c r="L85" s="1738"/>
      <c r="M85" s="3061"/>
      <c r="N85" s="3061"/>
      <c r="P85" s="3061"/>
      <c r="Q85" s="3061"/>
      <c r="S85" s="2907">
        <v>24000</v>
      </c>
      <c r="T85" s="2908"/>
      <c r="V85" s="2333"/>
      <c r="W85" s="2961"/>
      <c r="X85" s="2962"/>
    </row>
    <row r="86" spans="1:24" s="294" customFormat="1" ht="12" customHeight="1">
      <c r="B86" s="294" t="s">
        <v>1260</v>
      </c>
      <c r="G86" s="2891">
        <v>25000</v>
      </c>
      <c r="H86" s="2892"/>
      <c r="J86" s="3061"/>
      <c r="K86" s="3061"/>
      <c r="L86" s="1738"/>
      <c r="M86" s="3061"/>
      <c r="N86" s="3061"/>
      <c r="P86" s="3061"/>
      <c r="Q86" s="3061"/>
      <c r="S86" s="2891">
        <v>25000</v>
      </c>
      <c r="T86" s="2892"/>
      <c r="V86" s="2333"/>
      <c r="W86" s="2961"/>
      <c r="X86" s="2962"/>
    </row>
    <row r="87" spans="1:24" s="294" customFormat="1" ht="12" customHeight="1">
      <c r="B87" s="294" t="s">
        <v>1261</v>
      </c>
      <c r="G87" s="2891">
        <v>40000</v>
      </c>
      <c r="H87" s="2892"/>
      <c r="J87" s="3061"/>
      <c r="K87" s="3061"/>
      <c r="L87" s="1738"/>
      <c r="M87" s="3061"/>
      <c r="N87" s="3061"/>
      <c r="P87" s="3061"/>
      <c r="Q87" s="3061"/>
      <c r="S87" s="2891">
        <v>40000</v>
      </c>
      <c r="T87" s="2892"/>
      <c r="V87" s="2333"/>
      <c r="W87" s="2961"/>
      <c r="X87" s="2962"/>
    </row>
    <row r="88" spans="1:24" s="294" customFormat="1" ht="12" customHeight="1">
      <c r="B88" s="294" t="s">
        <v>1263</v>
      </c>
      <c r="G88" s="2891"/>
      <c r="H88" s="2892"/>
      <c r="J88" s="3061"/>
      <c r="K88" s="3061"/>
      <c r="L88" s="1738"/>
      <c r="M88" s="3061"/>
      <c r="N88" s="3061"/>
      <c r="P88" s="3061"/>
      <c r="Q88" s="3061"/>
      <c r="S88" s="2891"/>
      <c r="T88" s="2892"/>
      <c r="V88" s="2333"/>
      <c r="W88" s="2961"/>
      <c r="X88" s="2962"/>
    </row>
    <row r="89" spans="1:24" s="294" customFormat="1" ht="12" customHeight="1">
      <c r="B89" s="294" t="s">
        <v>2269</v>
      </c>
      <c r="G89" s="2891"/>
      <c r="H89" s="2892"/>
      <c r="J89" s="3061"/>
      <c r="K89" s="3061"/>
      <c r="L89" s="1738"/>
      <c r="M89" s="3061"/>
      <c r="N89" s="3061"/>
      <c r="P89" s="3061"/>
      <c r="Q89" s="3061"/>
      <c r="S89" s="2891"/>
      <c r="T89" s="2892"/>
      <c r="V89" s="2333"/>
      <c r="W89" s="2961"/>
      <c r="X89" s="2962"/>
    </row>
    <row r="90" spans="1:24" s="294" customFormat="1" ht="12" customHeight="1" thickBot="1">
      <c r="A90" s="372" t="str">
        <f>IF(AND(G90&gt;0,OR(C90="",C90="&lt;Enter detailed description here; use Comments section if needed&gt;")),"X","")</f>
        <v/>
      </c>
      <c r="B90" s="294" t="s">
        <v>730</v>
      </c>
      <c r="C90" s="3047" t="s">
        <v>3610</v>
      </c>
      <c r="D90" s="3047"/>
      <c r="E90" s="3047"/>
      <c r="F90" s="3048"/>
      <c r="G90" s="2895"/>
      <c r="H90" s="2896"/>
      <c r="J90" s="3061"/>
      <c r="K90" s="3061"/>
      <c r="L90" s="1738"/>
      <c r="M90" s="3061"/>
      <c r="N90" s="3061"/>
      <c r="P90" s="3061"/>
      <c r="Q90" s="3061"/>
      <c r="S90" s="2895"/>
      <c r="T90" s="2896"/>
      <c r="U90" s="371" t="str">
        <f>IF(AND(G90&gt;0,OR(C90="",C90="&lt;Enter detailed description here; use Comments section if needed&gt;")),"NO DESCRIPTION PROVIDED - please enter detailed description in Other box at left; use Comments section below if needed.","")</f>
        <v/>
      </c>
      <c r="V90" s="2333"/>
      <c r="W90" s="2963"/>
      <c r="X90" s="2964"/>
    </row>
    <row r="91" spans="1:24" s="294" customFormat="1" ht="12" customHeight="1" thickTop="1">
      <c r="F91" s="346" t="s">
        <v>189</v>
      </c>
      <c r="G91" s="3049">
        <f>SUM(G85:H90)</f>
        <v>89000</v>
      </c>
      <c r="H91" s="3050"/>
      <c r="J91" s="3061"/>
      <c r="K91" s="3061"/>
      <c r="L91" s="348"/>
      <c r="M91" s="3061"/>
      <c r="N91" s="3061"/>
      <c r="P91" s="3061"/>
      <c r="Q91" s="3061"/>
      <c r="S91" s="3049">
        <f>SUM(S85:T90)</f>
        <v>89000</v>
      </c>
      <c r="T91" s="3050"/>
      <c r="V91" s="2335">
        <f>SUM(V85:V90)</f>
        <v>0</v>
      </c>
      <c r="W91" s="2979"/>
      <c r="X91" s="2980"/>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5"/>
    </row>
    <row r="93" spans="1:24" s="294" customFormat="1" ht="18" customHeight="1" thickBot="1">
      <c r="A93" s="422" t="s">
        <v>605</v>
      </c>
      <c r="B93" s="422" t="s">
        <v>2789</v>
      </c>
      <c r="H93" s="1726"/>
      <c r="I93" s="1726"/>
      <c r="J93" s="3035" t="s">
        <v>268</v>
      </c>
      <c r="K93" s="3036"/>
      <c r="L93" s="345"/>
      <c r="M93" s="3066" t="s">
        <v>484</v>
      </c>
      <c r="N93" s="3067"/>
      <c r="P93" s="3035" t="s">
        <v>269</v>
      </c>
      <c r="Q93" s="3036"/>
      <c r="S93" s="3035" t="s">
        <v>270</v>
      </c>
      <c r="T93" s="3036"/>
      <c r="V93" s="423" t="str">
        <f>B93</f>
        <v>DEVELOPMENT BUDGET  (cont'd)</v>
      </c>
    </row>
    <row r="94" spans="1:24" s="294" customFormat="1" ht="18" customHeight="1" thickBot="1">
      <c r="G94" s="3070" t="s">
        <v>99</v>
      </c>
      <c r="H94" s="3071"/>
      <c r="J94" s="3037"/>
      <c r="K94" s="3038"/>
      <c r="L94" s="345"/>
      <c r="M94" s="3068"/>
      <c r="N94" s="3069"/>
      <c r="P94" s="3037"/>
      <c r="Q94" s="3038"/>
      <c r="S94" s="3037"/>
      <c r="T94" s="3038"/>
      <c r="V94" s="332" t="s">
        <v>2646</v>
      </c>
      <c r="X94" s="332"/>
    </row>
    <row r="95" spans="1:24" s="294" customFormat="1" ht="13.35" customHeight="1">
      <c r="B95" s="296" t="s">
        <v>714</v>
      </c>
      <c r="J95" s="348"/>
      <c r="K95" s="348"/>
      <c r="M95" s="348"/>
      <c r="N95" s="348"/>
      <c r="O95" s="347" t="str">
        <f>B95</f>
        <v>DCA-RELATED COSTS</v>
      </c>
      <c r="P95" s="348"/>
      <c r="Q95" s="348"/>
      <c r="S95" s="348"/>
      <c r="T95" s="348"/>
      <c r="V95" s="1075"/>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2907"/>
      <c r="H96" s="2908"/>
      <c r="J96" s="348"/>
      <c r="K96" s="348"/>
      <c r="L96" s="1738"/>
      <c r="M96" s="348"/>
      <c r="N96" s="348"/>
      <c r="P96" s="348"/>
      <c r="Q96" s="348"/>
      <c r="S96" s="2907"/>
      <c r="T96" s="2908"/>
      <c r="V96" s="2333"/>
      <c r="W96" s="2961"/>
      <c r="X96" s="2962"/>
    </row>
    <row r="97" spans="1:24" s="294" customFormat="1" ht="12.6" customHeight="1">
      <c r="B97" s="294" t="str">
        <f>CONCATENATE("Tax Credit Application Fee ($",'DCA Underwriting Assumptions'!$Q$83, " ForProf/JntVent, $",'DCA Underwriting Assumptions'!$Q$84, " NonProf)")</f>
        <v>Tax Credit Application Fee ($6500 ForProf/JntVent, $5500 NonProf)</v>
      </c>
      <c r="G97" s="2891">
        <v>6500</v>
      </c>
      <c r="H97" s="2892"/>
      <c r="J97" s="348"/>
      <c r="K97" s="348"/>
      <c r="L97" s="355"/>
      <c r="M97" s="348"/>
      <c r="N97" s="348"/>
      <c r="P97" s="348"/>
      <c r="Q97" s="348"/>
      <c r="S97" s="2891">
        <v>6500</v>
      </c>
      <c r="T97" s="2892"/>
      <c r="V97" s="2333"/>
      <c r="W97" s="2961"/>
      <c r="X97" s="2962"/>
    </row>
    <row r="98" spans="1:24" s="294" customFormat="1" ht="12.6" customHeight="1">
      <c r="B98" s="294" t="s">
        <v>3801</v>
      </c>
      <c r="G98" s="2891">
        <v>1000</v>
      </c>
      <c r="H98" s="2892"/>
      <c r="J98" s="348"/>
      <c r="K98" s="348"/>
      <c r="L98" s="355"/>
      <c r="M98" s="348"/>
      <c r="N98" s="348"/>
      <c r="O98" s="1726"/>
      <c r="P98" s="348"/>
      <c r="Q98" s="348"/>
      <c r="S98" s="2891">
        <v>1000</v>
      </c>
      <c r="T98" s="2892"/>
      <c r="V98" s="2333"/>
      <c r="W98" s="2961"/>
      <c r="X98" s="2962"/>
    </row>
    <row r="99" spans="1:24" s="294" customFormat="1" ht="12.6" customHeight="1">
      <c r="B99" s="294" t="s">
        <v>511</v>
      </c>
      <c r="E99" s="3072">
        <f>ROUNDUP('DCA Underwriting Assumptions'!$Q$88*J175,0)</f>
        <v>68660</v>
      </c>
      <c r="F99" s="3073"/>
      <c r="G99" s="2891">
        <v>68660</v>
      </c>
      <c r="H99" s="2892"/>
      <c r="J99" s="986" t="str">
        <f>IF(E99&gt;G99,"WARNING!  LIHTC Allocation Fee proposed is below minimum required.","")</f>
        <v/>
      </c>
      <c r="K99" s="348"/>
      <c r="L99" s="1738"/>
      <c r="M99" s="348"/>
      <c r="N99" s="348"/>
      <c r="O99" s="1726"/>
      <c r="P99" s="348"/>
      <c r="Q99" s="348"/>
      <c r="S99" s="2891">
        <v>68660</v>
      </c>
      <c r="T99" s="2892"/>
      <c r="V99" s="2333"/>
      <c r="W99" s="2961"/>
      <c r="X99" s="2962"/>
    </row>
    <row r="100" spans="1:24" s="294" customFormat="1" ht="12.6" customHeight="1">
      <c r="B100" s="294" t="s">
        <v>742</v>
      </c>
      <c r="E100" s="307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67200</v>
      </c>
      <c r="F100" s="3073"/>
      <c r="G100" s="2891">
        <v>67200</v>
      </c>
      <c r="H100" s="2892"/>
      <c r="J100" s="986" t="str">
        <f>IF(E100&gt;G100,"WARNING!  LIHTC Compliance Fee proposed is below minimum required.","")</f>
        <v/>
      </c>
      <c r="K100" s="271"/>
      <c r="L100" s="271"/>
      <c r="M100" s="271"/>
      <c r="N100" s="271"/>
      <c r="O100" s="271"/>
      <c r="P100" s="271"/>
      <c r="Q100" s="271"/>
      <c r="S100" s="2891">
        <v>67200</v>
      </c>
      <c r="T100" s="2892"/>
      <c r="V100" s="2333"/>
      <c r="W100" s="2961"/>
      <c r="X100" s="2962"/>
    </row>
    <row r="101" spans="1:24" s="294" customFormat="1" ht="12.6" customHeight="1">
      <c r="B101" s="294" t="s">
        <v>4032</v>
      </c>
      <c r="F101" s="1244">
        <f>ROUNDUP('DCA Underwriting Assumptions'!$Q$90,0)</f>
        <v>3000</v>
      </c>
      <c r="G101" s="2891">
        <v>3000</v>
      </c>
      <c r="H101" s="2892"/>
      <c r="J101" s="271"/>
      <c r="K101" s="271"/>
      <c r="L101" s="271"/>
      <c r="M101" s="271"/>
      <c r="N101" s="271"/>
      <c r="O101" s="271"/>
      <c r="P101" s="271"/>
      <c r="Q101" s="271"/>
      <c r="S101" s="2891">
        <v>3000</v>
      </c>
      <c r="T101" s="2892"/>
      <c r="V101" s="2333"/>
      <c r="W101" s="2961"/>
      <c r="X101" s="2962"/>
    </row>
    <row r="102" spans="1:24" s="294" customFormat="1" ht="12.6" customHeight="1">
      <c r="B102" s="294" t="s">
        <v>4033</v>
      </c>
      <c r="F102" s="1244">
        <f>ROUNDUP('DCA Underwriting Assumptions'!$Q$113,0)</f>
        <v>3000</v>
      </c>
      <c r="G102" s="2891">
        <v>3000</v>
      </c>
      <c r="H102" s="2892"/>
      <c r="J102" s="271"/>
      <c r="K102" s="271"/>
      <c r="L102" s="271"/>
      <c r="M102" s="271"/>
      <c r="N102" s="271"/>
      <c r="O102" s="271"/>
      <c r="P102" s="271"/>
      <c r="Q102" s="271"/>
      <c r="S102" s="2891">
        <v>3000</v>
      </c>
      <c r="T102" s="2892"/>
      <c r="V102" s="2333"/>
      <c r="W102" s="2961"/>
      <c r="X102" s="2962"/>
    </row>
    <row r="103" spans="1:24" s="294" customFormat="1" ht="12.6" customHeight="1">
      <c r="A103" s="372" t="str">
        <f>IF(AND(G103&gt;0,OR(C103="",C103="&lt;Enter detailed description here; use Comments section if needed&gt;")),"X","")</f>
        <v/>
      </c>
      <c r="B103" s="294" t="s">
        <v>730</v>
      </c>
      <c r="C103" s="3062" t="s">
        <v>3610</v>
      </c>
      <c r="D103" s="3062"/>
      <c r="E103" s="3062"/>
      <c r="F103" s="3063"/>
      <c r="G103" s="2891"/>
      <c r="H103" s="2892"/>
      <c r="J103" s="271"/>
      <c r="K103" s="271"/>
      <c r="L103" s="271"/>
      <c r="M103" s="271"/>
      <c r="N103" s="271"/>
      <c r="O103" s="271"/>
      <c r="P103" s="271"/>
      <c r="Q103" s="271"/>
      <c r="S103" s="2891"/>
      <c r="T103" s="2892"/>
      <c r="U103" s="371" t="str">
        <f>IF(AND(G103&gt;0,OR(C103="",C103="&lt;Enter detailed description here; use Comments section if needed&gt;")),"NO DESCRIPTION PROVIDED - please enter detailed description in Other box at left; use Comments section below if needed.","")</f>
        <v/>
      </c>
      <c r="V103" s="2333"/>
      <c r="W103" s="2961"/>
      <c r="X103" s="2962"/>
    </row>
    <row r="104" spans="1:24" s="294" customFormat="1" ht="12.6" customHeight="1" thickBot="1">
      <c r="A104" s="372" t="str">
        <f>IF(AND(G104&gt;0,OR(C104="",C104="&lt;Enter detailed description here; use Comments section if needed&gt;")),"X","")</f>
        <v/>
      </c>
      <c r="B104" s="294" t="s">
        <v>730</v>
      </c>
      <c r="C104" s="3064" t="s">
        <v>3610</v>
      </c>
      <c r="D104" s="3064"/>
      <c r="E104" s="3064"/>
      <c r="F104" s="3065"/>
      <c r="G104" s="2895"/>
      <c r="H104" s="2896"/>
      <c r="J104" s="271"/>
      <c r="K104" s="271"/>
      <c r="L104" s="271"/>
      <c r="M104" s="271"/>
      <c r="N104" s="271"/>
      <c r="O104" s="271"/>
      <c r="P104" s="271"/>
      <c r="Q104" s="271"/>
      <c r="S104" s="2895"/>
      <c r="T104" s="2896"/>
      <c r="U104" s="371" t="str">
        <f>IF(AND(G104&gt;0,OR(C104="",C104="&lt;Enter detailed description here; use Comments section if needed&gt;")),"NO DESCRIPTION PROVIDED - please enter detailed description in Other box at left; use Comments section below if needed.","")</f>
        <v/>
      </c>
      <c r="V104" s="2333"/>
      <c r="W104" s="2963"/>
      <c r="X104" s="2964"/>
    </row>
    <row r="105" spans="1:24" s="294" customFormat="1" ht="12.6" customHeight="1" thickTop="1">
      <c r="F105" s="346" t="s">
        <v>189</v>
      </c>
      <c r="G105" s="3049">
        <f>SUM(G96:H104)</f>
        <v>149360</v>
      </c>
      <c r="H105" s="3050"/>
      <c r="J105" s="348"/>
      <c r="K105" s="348"/>
      <c r="L105" s="1738"/>
      <c r="M105" s="348"/>
      <c r="N105" s="348"/>
      <c r="P105" s="348"/>
      <c r="Q105" s="348"/>
      <c r="S105" s="3049">
        <f>SUM(S96:T104)</f>
        <v>149360</v>
      </c>
      <c r="T105" s="3050"/>
      <c r="V105" s="2335">
        <f>SUM(V96:V104)</f>
        <v>0</v>
      </c>
      <c r="W105" s="2965"/>
      <c r="X105" s="2966"/>
    </row>
    <row r="106" spans="1:24" s="294" customFormat="1" ht="13.35" customHeight="1">
      <c r="B106" s="296" t="s">
        <v>2270</v>
      </c>
      <c r="J106" s="348"/>
      <c r="K106" s="348"/>
      <c r="M106" s="348"/>
      <c r="N106" s="348"/>
      <c r="O106" s="347" t="str">
        <f>B106</f>
        <v>EQUITY COSTS</v>
      </c>
      <c r="P106" s="348"/>
      <c r="Q106" s="348"/>
      <c r="S106" s="348"/>
      <c r="T106" s="348"/>
      <c r="V106" s="1075"/>
      <c r="W106" s="294" t="str">
        <f>B106</f>
        <v>EQUITY COSTS</v>
      </c>
    </row>
    <row r="107" spans="1:24" s="294" customFormat="1" ht="12.6" customHeight="1">
      <c r="B107" s="294" t="s">
        <v>276</v>
      </c>
      <c r="G107" s="2907"/>
      <c r="H107" s="2908"/>
      <c r="J107" s="3061"/>
      <c r="K107" s="3061"/>
      <c r="L107" s="1738"/>
      <c r="M107" s="3061"/>
      <c r="N107" s="3061"/>
      <c r="O107" s="1726"/>
      <c r="P107" s="3061"/>
      <c r="Q107" s="3061"/>
      <c r="S107" s="2907"/>
      <c r="T107" s="2908"/>
      <c r="V107" s="2333"/>
      <c r="W107" s="2961"/>
      <c r="X107" s="2962"/>
    </row>
    <row r="108" spans="1:24" s="294" customFormat="1" ht="12.6" customHeight="1">
      <c r="B108" s="294" t="s">
        <v>277</v>
      </c>
      <c r="G108" s="2891"/>
      <c r="H108" s="2892"/>
      <c r="J108" s="3061"/>
      <c r="K108" s="3061"/>
      <c r="L108" s="1738"/>
      <c r="M108" s="3061"/>
      <c r="N108" s="3061"/>
      <c r="O108" s="1726"/>
      <c r="P108" s="3061"/>
      <c r="Q108" s="3061"/>
      <c r="S108" s="2891"/>
      <c r="T108" s="2892"/>
      <c r="V108" s="2333"/>
      <c r="W108" s="2961"/>
      <c r="X108" s="2962"/>
    </row>
    <row r="109" spans="1:24" s="294" customFormat="1" ht="12.6" customHeight="1">
      <c r="B109" s="294" t="s">
        <v>2355</v>
      </c>
      <c r="G109" s="2891"/>
      <c r="H109" s="2892"/>
      <c r="J109" s="3061"/>
      <c r="K109" s="3061"/>
      <c r="L109" s="1738"/>
      <c r="M109" s="3061"/>
      <c r="N109" s="3061"/>
      <c r="O109" s="1726"/>
      <c r="P109" s="3061"/>
      <c r="Q109" s="3061"/>
      <c r="S109" s="2891"/>
      <c r="T109" s="2892"/>
      <c r="V109" s="2333"/>
      <c r="W109" s="2961"/>
      <c r="X109" s="2962"/>
    </row>
    <row r="110" spans="1:24" s="294" customFormat="1" ht="12.6" customHeight="1" thickBot="1">
      <c r="A110" s="372" t="str">
        <f>IF(AND(G110&gt;0,OR(C110="",C110="&lt;Enter detailed description here; use Comments section if needed&gt;")),"X","")</f>
        <v/>
      </c>
      <c r="B110" s="294" t="s">
        <v>730</v>
      </c>
      <c r="C110" s="3047" t="s">
        <v>4885</v>
      </c>
      <c r="D110" s="3047"/>
      <c r="E110" s="3047"/>
      <c r="F110" s="3048"/>
      <c r="G110" s="2895">
        <v>25000</v>
      </c>
      <c r="H110" s="2896"/>
      <c r="J110" s="3061"/>
      <c r="K110" s="3061"/>
      <c r="L110" s="1738"/>
      <c r="M110" s="3061"/>
      <c r="N110" s="3061"/>
      <c r="O110" s="1726"/>
      <c r="P110" s="3061"/>
      <c r="Q110" s="3061"/>
      <c r="S110" s="2895">
        <v>25000</v>
      </c>
      <c r="T110" s="2896"/>
      <c r="U110" s="371" t="str">
        <f>IF(AND(G110&gt;0,OR(C110="",C110="&lt;Enter detailed description here; use Comments section if needed&gt;")),"NO DESCRIPTION PROVIDED - please enter detailed description in Other box at left; use Comments section below if needed.","")</f>
        <v/>
      </c>
      <c r="V110" s="2333"/>
      <c r="W110" s="2963"/>
      <c r="X110" s="2964"/>
    </row>
    <row r="111" spans="1:24" s="294" customFormat="1" ht="12.6" customHeight="1" thickTop="1">
      <c r="F111" s="346" t="s">
        <v>189</v>
      </c>
      <c r="G111" s="3049">
        <f>SUM(G107:H110)</f>
        <v>25000</v>
      </c>
      <c r="H111" s="3050"/>
      <c r="J111" s="3061"/>
      <c r="K111" s="3061"/>
      <c r="L111" s="1738"/>
      <c r="M111" s="3061"/>
      <c r="N111" s="3061"/>
      <c r="O111" s="1726"/>
      <c r="P111" s="3061"/>
      <c r="Q111" s="3061"/>
      <c r="S111" s="3049">
        <f>SUM(S107:T110)</f>
        <v>25000</v>
      </c>
      <c r="T111" s="3050"/>
      <c r="V111" s="2335">
        <f>SUM(V107:V110)</f>
        <v>0</v>
      </c>
      <c r="W111" s="2979"/>
      <c r="X111" s="2980"/>
    </row>
    <row r="112" spans="1:24" s="294" customFormat="1" ht="13.35" customHeight="1">
      <c r="B112" s="296" t="s">
        <v>278</v>
      </c>
      <c r="J112" s="348"/>
      <c r="K112" s="345"/>
      <c r="M112" s="348"/>
      <c r="N112" s="345"/>
      <c r="O112" s="347" t="str">
        <f>B112</f>
        <v>DEVELOPER'S FEE</v>
      </c>
      <c r="P112" s="348"/>
      <c r="Q112" s="345"/>
      <c r="S112" s="348"/>
      <c r="T112" s="345"/>
      <c r="V112" s="1075"/>
      <c r="W112" s="294" t="str">
        <f>B112</f>
        <v>DEVELOPER'S FEE</v>
      </c>
    </row>
    <row r="113" spans="1:24" s="294" customFormat="1" ht="12.6" customHeight="1">
      <c r="B113" s="294" t="s">
        <v>1835</v>
      </c>
      <c r="F113" s="398">
        <f>IF($G$118=0,0,G113/$G$118)</f>
        <v>0</v>
      </c>
      <c r="G113" s="3058"/>
      <c r="H113" s="3058"/>
      <c r="J113" s="3059"/>
      <c r="K113" s="3060"/>
      <c r="L113" s="347"/>
      <c r="M113" s="3059"/>
      <c r="N113" s="3060"/>
      <c r="P113" s="3059"/>
      <c r="Q113" s="3060"/>
      <c r="S113" s="3059"/>
      <c r="T113" s="3060"/>
      <c r="V113" s="2333"/>
      <c r="W113" s="2961"/>
      <c r="X113" s="2962"/>
    </row>
    <row r="114" spans="1:24" s="294" customFormat="1" ht="12.6" customHeight="1">
      <c r="B114" s="294" t="s">
        <v>3989</v>
      </c>
      <c r="F114" s="2340"/>
      <c r="V114" s="2333"/>
      <c r="W114" s="2961"/>
      <c r="X114" s="2962"/>
    </row>
    <row r="115" spans="1:24" s="294" customFormat="1" ht="12.6" customHeight="1">
      <c r="B115" s="294" t="s">
        <v>1836</v>
      </c>
      <c r="F115" s="398">
        <f>IF($G$118=0,0,G115/$G$118)</f>
        <v>1.6666666666666666E-2</v>
      </c>
      <c r="G115" s="2907">
        <v>30000</v>
      </c>
      <c r="H115" s="2908"/>
      <c r="J115" s="2907">
        <v>30000</v>
      </c>
      <c r="K115" s="2908"/>
      <c r="L115" s="1738"/>
      <c r="M115" s="2907"/>
      <c r="N115" s="2908"/>
      <c r="P115" s="2907"/>
      <c r="Q115" s="2908"/>
      <c r="S115" s="2907"/>
      <c r="T115" s="2908"/>
      <c r="V115" s="2333"/>
      <c r="W115" s="2961"/>
      <c r="X115" s="2962"/>
    </row>
    <row r="116" spans="1:24" s="294" customFormat="1" ht="12.6" customHeight="1">
      <c r="B116" s="294" t="s">
        <v>3540</v>
      </c>
      <c r="F116" s="398">
        <f>IF($G$118=0,0,G116/$G$118)</f>
        <v>0</v>
      </c>
      <c r="G116" s="2891"/>
      <c r="H116" s="2892"/>
      <c r="J116" s="2891"/>
      <c r="K116" s="2892"/>
      <c r="L116" s="1738"/>
      <c r="M116" s="2891"/>
      <c r="N116" s="2892"/>
      <c r="P116" s="2891"/>
      <c r="Q116" s="2892"/>
      <c r="S116" s="2891"/>
      <c r="T116" s="2892"/>
      <c r="V116" s="2333"/>
      <c r="W116" s="2961"/>
      <c r="X116" s="2962"/>
    </row>
    <row r="117" spans="1:24" s="294" customFormat="1" ht="12.6" customHeight="1" thickBot="1">
      <c r="B117" s="294" t="s">
        <v>1828</v>
      </c>
      <c r="F117" s="398">
        <f>IF($G$118=0,0,G117/$G$118)</f>
        <v>0.98333333333333328</v>
      </c>
      <c r="G117" s="2895">
        <v>1770000</v>
      </c>
      <c r="H117" s="2896"/>
      <c r="J117" s="2895">
        <v>1770000</v>
      </c>
      <c r="K117" s="2896"/>
      <c r="L117" s="1738"/>
      <c r="M117" s="2895"/>
      <c r="N117" s="2896"/>
      <c r="P117" s="2895"/>
      <c r="Q117" s="2896"/>
      <c r="S117" s="2895"/>
      <c r="T117" s="2896"/>
      <c r="V117" s="2333"/>
      <c r="W117" s="2963"/>
      <c r="X117" s="2964"/>
    </row>
    <row r="118" spans="1:24" s="294" customFormat="1" ht="12.6" customHeight="1" thickTop="1">
      <c r="C118" s="371"/>
      <c r="F118" s="346" t="s">
        <v>189</v>
      </c>
      <c r="G118" s="3054">
        <f>SUM(G113:H117)</f>
        <v>1800000</v>
      </c>
      <c r="H118" s="3055"/>
      <c r="J118" s="3049">
        <f>SUM(J113:K117)</f>
        <v>1800000</v>
      </c>
      <c r="K118" s="3050"/>
      <c r="L118" s="1738"/>
      <c r="M118" s="3049">
        <f>SUM(M113:N117)</f>
        <v>0</v>
      </c>
      <c r="N118" s="3050"/>
      <c r="P118" s="3049">
        <f>SUM(P113:Q117)</f>
        <v>0</v>
      </c>
      <c r="Q118" s="3050"/>
      <c r="S118" s="3049">
        <f>SUM(S113:T117)</f>
        <v>0</v>
      </c>
      <c r="T118" s="3050"/>
      <c r="V118" s="2335">
        <f>SUM(V113:V117)</f>
        <v>0</v>
      </c>
      <c r="W118" s="2979"/>
      <c r="X118" s="2980"/>
    </row>
    <row r="119" spans="1:24" s="294" customFormat="1" ht="13.35" customHeight="1">
      <c r="B119" s="296" t="s">
        <v>1294</v>
      </c>
      <c r="J119" s="345"/>
      <c r="K119" s="345"/>
      <c r="M119" s="345"/>
      <c r="N119" s="345"/>
      <c r="O119" s="347" t="str">
        <f>B119</f>
        <v>START-UP AND RESERVES</v>
      </c>
      <c r="P119" s="345"/>
      <c r="Q119" s="345"/>
      <c r="S119" s="345"/>
      <c r="T119" s="345"/>
      <c r="V119" s="1075"/>
      <c r="W119" s="294" t="str">
        <f>B119</f>
        <v>START-UP AND RESERVES</v>
      </c>
    </row>
    <row r="120" spans="1:24" s="294" customFormat="1" ht="12.6" customHeight="1">
      <c r="B120" s="294" t="s">
        <v>248</v>
      </c>
      <c r="G120" s="2907">
        <v>40000</v>
      </c>
      <c r="H120" s="2908"/>
      <c r="J120" s="356"/>
      <c r="K120" s="356"/>
      <c r="L120" s="356"/>
      <c r="M120" s="356"/>
      <c r="N120" s="356"/>
      <c r="P120" s="356"/>
      <c r="Q120" s="356"/>
      <c r="S120" s="2907">
        <v>40000</v>
      </c>
      <c r="T120" s="2908"/>
      <c r="V120" s="2333"/>
      <c r="W120" s="2961"/>
      <c r="X120" s="2962"/>
    </row>
    <row r="121" spans="1:24" s="294" customFormat="1" ht="12.6" customHeight="1">
      <c r="B121" s="294" t="s">
        <v>1517</v>
      </c>
      <c r="F121" s="460">
        <f>+'Part VI-Revenues &amp; Expenses'!$P$226*('DCA Underwriting Assumptions'!$Q$112/12)</f>
        <v>114043.5</v>
      </c>
      <c r="G121" s="2891">
        <v>114043</v>
      </c>
      <c r="H121" s="2892"/>
      <c r="J121" s="988" t="str">
        <f>IF(E121&gt;G121,"WARNING! Rent-Up Reserves proposed is below minimum - add comment.","")</f>
        <v/>
      </c>
      <c r="K121" s="988"/>
      <c r="L121" s="1738"/>
      <c r="M121" s="962"/>
      <c r="N121" s="962"/>
      <c r="O121" s="1726"/>
      <c r="P121" s="962"/>
      <c r="Q121" s="962"/>
      <c r="R121" s="1726"/>
      <c r="S121" s="2891">
        <v>114043</v>
      </c>
      <c r="T121" s="2892"/>
      <c r="V121" s="2333"/>
      <c r="W121" s="2961"/>
      <c r="X121" s="2962"/>
    </row>
    <row r="122" spans="1:24" s="294" customFormat="1" ht="12.6" customHeight="1">
      <c r="B122" s="294" t="s">
        <v>667</v>
      </c>
      <c r="F122" s="460">
        <f>'Part VI-Revenues &amp; Expenses'!$P$226*('DCA Underwriting Assumptions'!$Q$111/12)+('Part VII-Pro Forma'!$B$25+'Part VII-Pro Forma'!$B$26+'Part VII-Pro Forma'!$B$27+'Part VII-Pro Forma'!$B$28)*'DCA Underwriting Assumptions'!$Q$110/(-12)</f>
        <v>333358.72177942633</v>
      </c>
      <c r="G122" s="2891">
        <v>333359</v>
      </c>
      <c r="H122" s="2892"/>
      <c r="J122" s="988" t="str">
        <f>IF(E122&gt;G122,"WARNING! ODR proposed is below minimum - add comment.","")</f>
        <v/>
      </c>
      <c r="K122" s="355"/>
      <c r="L122" s="355"/>
      <c r="M122" s="355"/>
      <c r="N122" s="355"/>
      <c r="O122" s="1726"/>
      <c r="P122" s="355"/>
      <c r="Q122" s="355"/>
      <c r="R122" s="1726"/>
      <c r="S122" s="2891">
        <v>333359</v>
      </c>
      <c r="T122" s="2892"/>
      <c r="V122" s="2333"/>
      <c r="W122" s="2961"/>
      <c r="X122" s="2962"/>
    </row>
    <row r="123" spans="1:24" s="294" customFormat="1" ht="12.6" customHeight="1">
      <c r="B123" s="294" t="s">
        <v>1229</v>
      </c>
      <c r="G123" s="2891"/>
      <c r="H123" s="2892"/>
      <c r="J123" s="356"/>
      <c r="K123" s="356"/>
      <c r="L123" s="356"/>
      <c r="M123" s="356"/>
      <c r="N123" s="356"/>
      <c r="P123" s="356"/>
      <c r="Q123" s="356"/>
      <c r="S123" s="2891"/>
      <c r="T123" s="2892"/>
      <c r="V123" s="2333"/>
      <c r="W123" s="2961"/>
      <c r="X123" s="2962"/>
    </row>
    <row r="124" spans="1:24" s="294" customFormat="1" ht="12.6" customHeight="1">
      <c r="B124" s="294" t="s">
        <v>1230</v>
      </c>
      <c r="E124" s="851" t="s">
        <v>3496</v>
      </c>
      <c r="F124" s="460">
        <f>IF('Part VI-Revenues &amp; Expenses'!$O$67=0,0,G124/'Part VI-Revenues &amp; Expenses'!$O$67)</f>
        <v>2678.5714285714284</v>
      </c>
      <c r="G124" s="2891">
        <v>225000</v>
      </c>
      <c r="H124" s="2892"/>
      <c r="J124" s="2907"/>
      <c r="K124" s="2908"/>
      <c r="L124" s="1738"/>
      <c r="M124" s="2907"/>
      <c r="N124" s="2908"/>
      <c r="P124" s="2907"/>
      <c r="Q124" s="2908"/>
      <c r="S124" s="2891">
        <v>225000</v>
      </c>
      <c r="T124" s="2892"/>
      <c r="V124" s="2333"/>
      <c r="W124" s="2961"/>
      <c r="X124" s="2962"/>
    </row>
    <row r="125" spans="1:24" s="294" customFormat="1" ht="12.6" customHeight="1" thickBot="1">
      <c r="A125" s="372" t="str">
        <f>IF(AND(G125&gt;0,OR(C125="",C125="&lt;Enter detailed description here; use Comments section if needed&gt;")),"X","")</f>
        <v/>
      </c>
      <c r="B125" s="294" t="s">
        <v>730</v>
      </c>
      <c r="C125" s="3047" t="s">
        <v>3610</v>
      </c>
      <c r="D125" s="3047"/>
      <c r="E125" s="3047"/>
      <c r="F125" s="3048"/>
      <c r="G125" s="2895"/>
      <c r="H125" s="2896"/>
      <c r="J125" s="3056"/>
      <c r="K125" s="3057"/>
      <c r="L125" s="1738"/>
      <c r="M125" s="2895"/>
      <c r="N125" s="2896"/>
      <c r="P125" s="2895"/>
      <c r="Q125" s="2896"/>
      <c r="S125" s="2895"/>
      <c r="T125" s="2896"/>
      <c r="U125" s="371" t="str">
        <f>IF(AND(G125&gt;0,OR(C125="",C125="&lt;Enter detailed description here; use Comments section if needed&gt;")),"NO DESCRIPTION PROVIDED - please enter detailed description in Other box at left; use Comments section below if needed.","")</f>
        <v/>
      </c>
      <c r="V125" s="2333"/>
      <c r="W125" s="2963"/>
      <c r="X125" s="2964"/>
    </row>
    <row r="126" spans="1:24" s="294" customFormat="1" ht="12.6" customHeight="1" thickTop="1">
      <c r="B126" s="357"/>
      <c r="F126" s="346" t="s">
        <v>189</v>
      </c>
      <c r="G126" s="3049">
        <f>SUM(G120:H125)</f>
        <v>712402</v>
      </c>
      <c r="H126" s="3050"/>
      <c r="J126" s="3049">
        <f>SUM(J124:K125)</f>
        <v>0</v>
      </c>
      <c r="K126" s="3050"/>
      <c r="L126" s="1738"/>
      <c r="M126" s="3049">
        <f>SUM(M124:N125)</f>
        <v>0</v>
      </c>
      <c r="N126" s="3050"/>
      <c r="P126" s="3049">
        <f>SUM(P124:Q125)</f>
        <v>0</v>
      </c>
      <c r="Q126" s="3050"/>
      <c r="S126" s="3049">
        <f>SUM(S120:T125)</f>
        <v>712402</v>
      </c>
      <c r="T126" s="3050"/>
      <c r="V126" s="2335">
        <f>SUM(V120:V125)</f>
        <v>0</v>
      </c>
      <c r="W126" s="2979"/>
      <c r="X126" s="2980"/>
    </row>
    <row r="127" spans="1:24" s="294" customFormat="1" ht="13.35" customHeight="1">
      <c r="B127" s="296" t="s">
        <v>600</v>
      </c>
      <c r="C127" s="1721"/>
      <c r="H127" s="353"/>
      <c r="I127" s="353"/>
      <c r="J127" s="345"/>
      <c r="K127" s="345"/>
      <c r="M127" s="345"/>
      <c r="N127" s="345"/>
      <c r="O127" s="347" t="str">
        <f>B127</f>
        <v>OTHER COSTS</v>
      </c>
      <c r="P127" s="345"/>
      <c r="Q127" s="345"/>
      <c r="S127" s="345"/>
      <c r="T127" s="345"/>
      <c r="V127" s="1075"/>
      <c r="W127" s="294" t="str">
        <f>B127</f>
        <v>OTHER COSTS</v>
      </c>
    </row>
    <row r="128" spans="1:24" s="294" customFormat="1" ht="12.6" customHeight="1">
      <c r="B128" s="294" t="s">
        <v>601</v>
      </c>
      <c r="C128" s="1721"/>
      <c r="G128" s="2907"/>
      <c r="H128" s="2908"/>
      <c r="J128" s="2907"/>
      <c r="K128" s="2908"/>
      <c r="L128" s="347"/>
      <c r="M128" s="2907"/>
      <c r="N128" s="2908"/>
      <c r="P128" s="2907"/>
      <c r="Q128" s="2908"/>
      <c r="S128" s="2907"/>
      <c r="T128" s="2908"/>
      <c r="V128" s="2333"/>
      <c r="W128" s="2961"/>
      <c r="X128" s="2962"/>
    </row>
    <row r="129" spans="1:24" s="294" customFormat="1" ht="12.6" customHeight="1" thickBot="1">
      <c r="A129" s="372" t="str">
        <f>IF(AND(G129&gt;0,OR(C129="",C129="&lt;Enter detailed description here; use Comments section if needed&gt;")),"X","")</f>
        <v/>
      </c>
      <c r="B129" s="294" t="s">
        <v>730</v>
      </c>
      <c r="C129" s="3047" t="s">
        <v>3610</v>
      </c>
      <c r="D129" s="3047"/>
      <c r="E129" s="3047"/>
      <c r="F129" s="3048"/>
      <c r="G129" s="2895"/>
      <c r="H129" s="2896"/>
      <c r="J129" s="2895"/>
      <c r="K129" s="2896"/>
      <c r="L129" s="1738"/>
      <c r="M129" s="2895"/>
      <c r="N129" s="2896"/>
      <c r="P129" s="2895"/>
      <c r="Q129" s="2896"/>
      <c r="S129" s="2895"/>
      <c r="T129" s="2896"/>
      <c r="U129" s="371" t="str">
        <f>IF(AND(G129&gt;0,OR(C129="",C129="&lt;Enter detailed description here; use Comments section if needed&gt;")),"NO DESCRIPTION PROVIDED - please enter detailed description in Other box at left; use Comments section below if needed.","")</f>
        <v/>
      </c>
      <c r="V129" s="2333"/>
      <c r="W129" s="2963"/>
      <c r="X129" s="2964"/>
    </row>
    <row r="130" spans="1:24" s="294" customFormat="1" ht="12.6" customHeight="1" thickTop="1">
      <c r="C130" s="1721"/>
      <c r="F130" s="346" t="s">
        <v>189</v>
      </c>
      <c r="G130" s="3049">
        <f>SUM(G128:H129)</f>
        <v>0</v>
      </c>
      <c r="H130" s="3050"/>
      <c r="J130" s="3049">
        <f>SUM(J128:K129)</f>
        <v>0</v>
      </c>
      <c r="K130" s="3050"/>
      <c r="L130" s="1738"/>
      <c r="M130" s="3049">
        <f>SUM(M128:N129)</f>
        <v>0</v>
      </c>
      <c r="N130" s="3050"/>
      <c r="P130" s="3049">
        <f>SUM(P128:Q129)</f>
        <v>0</v>
      </c>
      <c r="Q130" s="3050"/>
      <c r="S130" s="3049">
        <f>SUM(S128:T129)</f>
        <v>0</v>
      </c>
      <c r="T130" s="3050"/>
      <c r="V130" s="2335">
        <f>SUM(V128:V129)</f>
        <v>0</v>
      </c>
      <c r="W130" s="2979"/>
      <c r="X130" s="2980"/>
    </row>
    <row r="131" spans="1:24" s="294" customFormat="1" ht="3" customHeight="1" thickBot="1">
      <c r="C131" s="1721"/>
      <c r="H131" s="353"/>
      <c r="I131" s="353"/>
      <c r="L131" s="1726"/>
      <c r="V131" s="1075"/>
      <c r="W131" s="2341"/>
      <c r="X131" s="2342"/>
    </row>
    <row r="132" spans="1:24" s="294" customFormat="1" ht="14.1" customHeight="1" thickBot="1">
      <c r="B132" s="299" t="s">
        <v>2722</v>
      </c>
      <c r="G132" s="3051">
        <f>G17+G23+G27+G33+G38+G41+G47+G64+G77+G83+G91+G105+G111+G118+G126+G130</f>
        <v>15872847</v>
      </c>
      <c r="H132" s="3052"/>
      <c r="J132" s="3051">
        <f>J17+J23+J27+J33+J38+J41+J47+J64+J77+J83+J91+J105+J111+J118+J126+J130</f>
        <v>13641585</v>
      </c>
      <c r="K132" s="3052"/>
      <c r="M132" s="3051">
        <f>M17+M23+M27+M33+M38+M41+M47+M64+M77+M83+M91+M105+M111+M118+M126+M130</f>
        <v>0</v>
      </c>
      <c r="N132" s="3052"/>
      <c r="P132" s="3051">
        <f>P17+P23+P27+P33+P38+P41+P47+P64+P77+P83+P91+P105+P111+P118+P126+P130</f>
        <v>0</v>
      </c>
      <c r="Q132" s="3052"/>
      <c r="S132" s="3051">
        <f>S17+S23+S27+S33+S38+S41+S47+S64+S77+S83+S91+S105+S111+S118+S126+S130</f>
        <v>2193262</v>
      </c>
      <c r="T132" s="3052"/>
      <c r="V132" s="2343">
        <f>V17+V23+V27+V33+V38+V41+V47+V64+V77+V83+V91+V105+V111+V118+V126+V130</f>
        <v>0</v>
      </c>
      <c r="W132" s="3053"/>
      <c r="X132" s="2980"/>
    </row>
    <row r="133" spans="1:24" s="294" customFormat="1" ht="3" customHeight="1">
      <c r="C133" s="1721"/>
      <c r="H133" s="353"/>
      <c r="I133" s="353"/>
      <c r="L133" s="1726"/>
      <c r="V133" s="1075"/>
    </row>
    <row r="134" spans="1:24" s="294" customFormat="1" ht="14.1" customHeight="1">
      <c r="B134" s="500" t="s">
        <v>2719</v>
      </c>
      <c r="C134" s="498"/>
      <c r="D134" s="3032">
        <f>IF('Part VI-Revenues &amp; Expenses'!$O$67=0,0,G132/'Part VI-Revenues &amp; Expenses'!$O$67)</f>
        <v>188962.46428571429</v>
      </c>
      <c r="E134" s="3032"/>
      <c r="F134" s="499" t="s">
        <v>2718</v>
      </c>
      <c r="G134" s="3033">
        <f>IF('Part I-Project Information'!$P$75=0,0,G132/'Part I-Project Information'!$P$75)</f>
        <v>204.49429270806493</v>
      </c>
      <c r="H134" s="3034"/>
      <c r="I134" s="358"/>
      <c r="V134" s="1075"/>
    </row>
    <row r="135" spans="1:24" s="294" customFormat="1" ht="3" customHeight="1">
      <c r="I135" s="358"/>
      <c r="L135" s="358"/>
      <c r="V135" s="1075"/>
    </row>
    <row r="136" spans="1:24" s="294" customFormat="1" ht="3.6" customHeight="1" thickBot="1">
      <c r="D136" s="1721"/>
      <c r="E136" s="1721"/>
      <c r="I136" s="353"/>
      <c r="J136" s="353"/>
      <c r="K136" s="359"/>
      <c r="L136" s="1718"/>
      <c r="P136" s="1726"/>
      <c r="V136" s="1075"/>
    </row>
    <row r="137" spans="1:24" s="294" customFormat="1" ht="26.1" customHeight="1">
      <c r="A137" s="422" t="s">
        <v>729</v>
      </c>
      <c r="B137" s="424" t="s">
        <v>1410</v>
      </c>
      <c r="C137" s="878"/>
      <c r="D137" s="1738"/>
      <c r="E137" s="1738"/>
      <c r="F137" s="1738"/>
      <c r="G137" s="1726"/>
      <c r="H137" s="1726"/>
      <c r="I137" s="360"/>
      <c r="J137" s="3035" t="s">
        <v>268</v>
      </c>
      <c r="K137" s="3036"/>
      <c r="M137" s="3035" t="s">
        <v>98</v>
      </c>
      <c r="N137" s="3036"/>
      <c r="P137" s="3035" t="s">
        <v>269</v>
      </c>
      <c r="Q137" s="3036"/>
      <c r="V137" s="1075"/>
      <c r="W137" s="423" t="str">
        <f>B137</f>
        <v>TAX CREDIT CALCULATION - BASIS METHOD</v>
      </c>
    </row>
    <row r="138" spans="1:24" s="294" customFormat="1" ht="15" customHeight="1" thickBot="1">
      <c r="B138" s="299" t="s">
        <v>2018</v>
      </c>
      <c r="D138" s="1738"/>
      <c r="E138" s="1738"/>
      <c r="I138" s="360"/>
      <c r="J138" s="3037"/>
      <c r="K138" s="3038"/>
      <c r="L138" s="878"/>
      <c r="M138" s="3037"/>
      <c r="N138" s="3038"/>
      <c r="P138" s="3037"/>
      <c r="Q138" s="3038"/>
      <c r="V138" s="1075"/>
      <c r="W138" s="294" t="str">
        <f>B138</f>
        <v>Subtractions From Eligible Basis</v>
      </c>
      <c r="X138" s="332"/>
    </row>
    <row r="139" spans="1:24" s="294" customFormat="1" ht="6" customHeight="1">
      <c r="D139" s="1721"/>
      <c r="E139" s="1721"/>
      <c r="I139" s="353"/>
      <c r="J139" s="353"/>
      <c r="K139" s="359"/>
      <c r="L139" s="1718"/>
      <c r="P139" s="1726"/>
      <c r="V139" s="1075"/>
    </row>
    <row r="140" spans="1:24" s="294" customFormat="1" ht="14.1" customHeight="1">
      <c r="B140" s="1721" t="s">
        <v>142</v>
      </c>
      <c r="D140" s="1726"/>
      <c r="E140" s="1726"/>
      <c r="F140" s="1726"/>
      <c r="G140" s="1726"/>
      <c r="H140" s="1726"/>
      <c r="I140" s="360"/>
      <c r="J140" s="3039"/>
      <c r="K140" s="3040"/>
      <c r="P140" s="3039"/>
      <c r="Q140" s="3040"/>
      <c r="V140" s="2333"/>
      <c r="W140" s="2961"/>
      <c r="X140" s="2962"/>
    </row>
    <row r="141" spans="1:24" s="294" customFormat="1" ht="14.1" customHeight="1">
      <c r="B141" s="1726" t="s">
        <v>2125</v>
      </c>
      <c r="D141" s="1726"/>
      <c r="E141" s="1726"/>
      <c r="F141" s="1726"/>
      <c r="G141" s="1726"/>
      <c r="H141" s="1726"/>
      <c r="I141" s="360"/>
      <c r="J141" s="3041"/>
      <c r="K141" s="3042"/>
      <c r="P141" s="3041"/>
      <c r="Q141" s="3042"/>
      <c r="V141" s="2333"/>
      <c r="W141" s="2961"/>
      <c r="X141" s="2962"/>
    </row>
    <row r="142" spans="1:24" s="294" customFormat="1" ht="14.1" customHeight="1">
      <c r="B142" s="1726" t="s">
        <v>1838</v>
      </c>
      <c r="D142" s="1726"/>
      <c r="E142" s="1726"/>
      <c r="I142" s="360"/>
      <c r="J142" s="3041"/>
      <c r="K142" s="3042"/>
      <c r="P142" s="3041"/>
      <c r="Q142" s="3042"/>
      <c r="V142" s="2333"/>
      <c r="W142" s="2961"/>
      <c r="X142" s="2962"/>
    </row>
    <row r="143" spans="1:24" s="294" customFormat="1" ht="14.1" customHeight="1">
      <c r="B143" s="1726" t="s">
        <v>1839</v>
      </c>
      <c r="D143" s="1726"/>
      <c r="E143" s="1726"/>
      <c r="I143" s="360"/>
      <c r="J143" s="3041"/>
      <c r="K143" s="3042"/>
      <c r="P143" s="3041"/>
      <c r="Q143" s="3042"/>
      <c r="V143" s="2333"/>
      <c r="W143" s="2961"/>
      <c r="X143" s="2962"/>
    </row>
    <row r="144" spans="1:24" s="294" customFormat="1" ht="14.1" customHeight="1">
      <c r="B144" s="1726" t="s">
        <v>251</v>
      </c>
      <c r="D144" s="1726"/>
      <c r="E144" s="1726"/>
      <c r="I144" s="360"/>
      <c r="J144" s="3041"/>
      <c r="K144" s="3042"/>
      <c r="P144" s="3041"/>
      <c r="Q144" s="3042"/>
      <c r="V144" s="2333"/>
      <c r="W144" s="2961"/>
      <c r="X144" s="2962"/>
    </row>
    <row r="145" spans="1:24" s="294" customFormat="1" ht="14.1" customHeight="1" thickBot="1">
      <c r="B145" s="1726" t="s">
        <v>1582</v>
      </c>
      <c r="C145" s="3043" t="s">
        <v>2384</v>
      </c>
      <c r="D145" s="3043"/>
      <c r="E145" s="3043"/>
      <c r="F145" s="3043"/>
      <c r="G145" s="3043"/>
      <c r="H145" s="3043"/>
      <c r="I145" s="3044"/>
      <c r="J145" s="3045"/>
      <c r="K145" s="3046"/>
      <c r="P145" s="3045"/>
      <c r="Q145" s="3046"/>
      <c r="V145" s="2333"/>
      <c r="W145" s="2963"/>
      <c r="X145" s="2964"/>
    </row>
    <row r="146" spans="1:24" s="294" customFormat="1" ht="14.1" customHeight="1" thickBot="1">
      <c r="B146" s="304" t="s">
        <v>1840</v>
      </c>
      <c r="C146" s="307"/>
      <c r="J146" s="2829">
        <f>SUM(J140:K145)</f>
        <v>0</v>
      </c>
      <c r="K146" s="2830"/>
      <c r="P146" s="2829">
        <f>SUM(P140:Q145)</f>
        <v>0</v>
      </c>
      <c r="Q146" s="2830"/>
      <c r="V146" s="2335">
        <f>SUM(V140:V145)</f>
        <v>0</v>
      </c>
      <c r="W146" s="2979"/>
      <c r="X146" s="2980"/>
    </row>
    <row r="147" spans="1:24" s="294" customFormat="1" ht="3" customHeight="1">
      <c r="V147" s="1075"/>
    </row>
    <row r="148" spans="1:24" s="294" customFormat="1" ht="15" customHeight="1" thickBot="1">
      <c r="B148" s="296" t="s">
        <v>2311</v>
      </c>
      <c r="V148" s="1075"/>
      <c r="W148" s="294" t="str">
        <f>B148</f>
        <v>Eligible Basis Calculation</v>
      </c>
    </row>
    <row r="149" spans="1:24" s="294" customFormat="1" ht="14.1" customHeight="1">
      <c r="B149" s="294" t="s">
        <v>1768</v>
      </c>
      <c r="J149" s="3028">
        <f>J132</f>
        <v>13641585</v>
      </c>
      <c r="K149" s="3029"/>
      <c r="M149" s="3030">
        <f>M132</f>
        <v>0</v>
      </c>
      <c r="N149" s="3031"/>
      <c r="P149" s="3028">
        <f>P132</f>
        <v>0</v>
      </c>
      <c r="Q149" s="3029"/>
      <c r="R149" s="2968" t="s">
        <v>4397</v>
      </c>
      <c r="S149" s="2969"/>
      <c r="T149" s="2969"/>
      <c r="V149" s="2333"/>
      <c r="W149" s="2961"/>
      <c r="X149" s="2962"/>
    </row>
    <row r="150" spans="1:24" s="294" customFormat="1" ht="14.1" customHeight="1">
      <c r="B150" s="294" t="s">
        <v>2192</v>
      </c>
      <c r="J150" s="2990">
        <f>J146</f>
        <v>0</v>
      </c>
      <c r="K150" s="2991"/>
      <c r="M150" s="3004"/>
      <c r="N150" s="3004"/>
      <c r="P150" s="2990">
        <f>P146</f>
        <v>0</v>
      </c>
      <c r="Q150" s="2991"/>
      <c r="R150" s="2968"/>
      <c r="S150" s="2969"/>
      <c r="T150" s="2969"/>
      <c r="U150" s="1505"/>
      <c r="V150" s="2333"/>
      <c r="W150" s="2961"/>
      <c r="X150" s="2962"/>
    </row>
    <row r="151" spans="1:24" s="294" customFormat="1" ht="14.1" customHeight="1">
      <c r="B151" s="294" t="s">
        <v>2193</v>
      </c>
      <c r="J151" s="2990">
        <f>J149-J150</f>
        <v>13641585</v>
      </c>
      <c r="K151" s="2991"/>
      <c r="M151" s="2990">
        <f>M149</f>
        <v>0</v>
      </c>
      <c r="N151" s="2991"/>
      <c r="P151" s="2990">
        <f>P149-P150</f>
        <v>0</v>
      </c>
      <c r="Q151" s="2991"/>
      <c r="R151" s="2968"/>
      <c r="S151" s="2969"/>
      <c r="T151" s="2969"/>
      <c r="U151" s="1505"/>
      <c r="V151" s="2333"/>
      <c r="W151" s="2961"/>
      <c r="X151" s="2962"/>
    </row>
    <row r="152" spans="1:24" s="294" customFormat="1" ht="14.1" customHeight="1">
      <c r="B152" s="294" t="s">
        <v>1467</v>
      </c>
      <c r="G152" s="1733" t="s">
        <v>1693</v>
      </c>
      <c r="H152" s="2697" t="s">
        <v>4891</v>
      </c>
      <c r="I152" s="2698"/>
      <c r="J152" s="3021">
        <v>1.3</v>
      </c>
      <c r="K152" s="3022"/>
      <c r="M152" s="3023"/>
      <c r="N152" s="3023"/>
      <c r="P152" s="3021"/>
      <c r="Q152" s="3022"/>
      <c r="R152" s="2970" t="s">
        <v>3599</v>
      </c>
      <c r="S152" s="2971"/>
      <c r="T152" s="2972"/>
      <c r="U152" s="1506"/>
      <c r="V152" s="2333"/>
      <c r="W152" s="2961"/>
      <c r="X152" s="2962"/>
    </row>
    <row r="153" spans="1:24" s="294" customFormat="1" ht="14.1" customHeight="1">
      <c r="B153" s="294" t="s">
        <v>2028</v>
      </c>
      <c r="J153" s="2990">
        <f>J151*J152</f>
        <v>17734060.5</v>
      </c>
      <c r="K153" s="2991"/>
      <c r="M153" s="2990">
        <f>+M151</f>
        <v>0</v>
      </c>
      <c r="N153" s="2991"/>
      <c r="P153" s="2990">
        <f>P151*P152</f>
        <v>0</v>
      </c>
      <c r="Q153" s="2991"/>
      <c r="R153" s="2973"/>
      <c r="S153" s="2974"/>
      <c r="T153" s="2975"/>
      <c r="U153" s="1506"/>
      <c r="V153" s="2333"/>
      <c r="W153" s="2961"/>
      <c r="X153" s="2962"/>
    </row>
    <row r="154" spans="1:24" s="294" customFormat="1" ht="14.1" customHeight="1">
      <c r="B154" s="294" t="s">
        <v>2508</v>
      </c>
      <c r="J154" s="3024">
        <f>MIN('Part VI-Revenues &amp; Expenses'!$O$63/'Part VI-Revenues &amp; Expenses'!$O$65,'Part VI-Revenues &amp; Expenses'!$O$152/'Part VI-Revenues &amp; Expenses'!$O$154)</f>
        <v>0.84065934065934067</v>
      </c>
      <c r="K154" s="3025"/>
      <c r="M154" s="3024">
        <f>MIN('Part VI-Revenues &amp; Expenses'!$O$63/'Part VI-Revenues &amp; Expenses'!$O$65,'Part VI-Revenues &amp; Expenses'!$O$152/'Part VI-Revenues &amp; Expenses'!$O$154)</f>
        <v>0.84065934065934067</v>
      </c>
      <c r="N154" s="3025"/>
      <c r="P154" s="3024">
        <f>MIN('Part VI-Revenues &amp; Expenses'!$O$63/'Part VI-Revenues &amp; Expenses'!$O$65,'Part VI-Revenues &amp; Expenses'!$O$152/'Part VI-Revenues &amp; Expenses'!$O$154)</f>
        <v>0.84065934065934067</v>
      </c>
      <c r="Q154" s="3025"/>
      <c r="R154" s="2976"/>
      <c r="S154" s="2977"/>
      <c r="T154" s="2978"/>
      <c r="V154" s="2333"/>
      <c r="W154" s="2961"/>
      <c r="X154" s="2962"/>
    </row>
    <row r="155" spans="1:24" s="294" customFormat="1" ht="14.1" customHeight="1">
      <c r="B155" s="294" t="s">
        <v>2019</v>
      </c>
      <c r="J155" s="2990">
        <f>J153*J154</f>
        <v>14908303.607142858</v>
      </c>
      <c r="K155" s="2991"/>
      <c r="M155" s="2990">
        <f>M153*M154</f>
        <v>0</v>
      </c>
      <c r="N155" s="2991"/>
      <c r="P155" s="2990">
        <f>P153*P154</f>
        <v>0</v>
      </c>
      <c r="Q155" s="2991"/>
      <c r="V155" s="2333"/>
      <c r="W155" s="2961"/>
      <c r="X155" s="2962"/>
    </row>
    <row r="156" spans="1:24" s="294" customFormat="1" ht="14.1" customHeight="1">
      <c r="B156" s="294" t="s">
        <v>2020</v>
      </c>
      <c r="J156" s="3021">
        <v>0.09</v>
      </c>
      <c r="K156" s="3022"/>
      <c r="M156" s="3021"/>
      <c r="N156" s="3022"/>
      <c r="P156" s="3021"/>
      <c r="Q156" s="3022"/>
      <c r="V156" s="2333"/>
      <c r="W156" s="2961"/>
      <c r="X156" s="2962"/>
    </row>
    <row r="157" spans="1:24" s="294" customFormat="1" ht="14.1" customHeight="1" thickBot="1">
      <c r="B157" s="294" t="s">
        <v>2509</v>
      </c>
      <c r="J157" s="3026">
        <f>J155*J156</f>
        <v>1341747.3246428573</v>
      </c>
      <c r="K157" s="3027"/>
      <c r="M157" s="3026">
        <f>M155*M156</f>
        <v>0</v>
      </c>
      <c r="N157" s="3027"/>
      <c r="P157" s="3026">
        <f>P155*P156</f>
        <v>0</v>
      </c>
      <c r="Q157" s="3027"/>
      <c r="V157" s="2344"/>
      <c r="W157" s="2963"/>
      <c r="X157" s="2964"/>
    </row>
    <row r="158" spans="1:24" s="294" customFormat="1" ht="14.1" customHeight="1" thickBot="1">
      <c r="B158" s="296" t="s">
        <v>1408</v>
      </c>
      <c r="J158" s="2829">
        <f>ROUNDDOWN(J157+M157+P157,0)</f>
        <v>1341747</v>
      </c>
      <c r="K158" s="2997"/>
      <c r="L158" s="2997"/>
      <c r="M158" s="2997"/>
      <c r="N158" s="2997"/>
      <c r="O158" s="2997"/>
      <c r="P158" s="2997"/>
      <c r="Q158" s="2830"/>
      <c r="V158" s="2335"/>
      <c r="W158" s="2965"/>
      <c r="X158" s="2966"/>
    </row>
    <row r="159" spans="1:24" s="294" customFormat="1" ht="6" customHeight="1">
      <c r="B159" s="361"/>
      <c r="L159" s="362"/>
      <c r="M159" s="362"/>
      <c r="N159" s="362"/>
      <c r="O159" s="362"/>
      <c r="V159" s="1075"/>
    </row>
    <row r="160" spans="1:24" s="294" customFormat="1" ht="14.1" customHeight="1">
      <c r="A160" s="423" t="s">
        <v>731</v>
      </c>
      <c r="B160" s="423" t="s">
        <v>1411</v>
      </c>
      <c r="H160" s="353"/>
      <c r="I160" s="353"/>
      <c r="L160" s="1726"/>
      <c r="M160" s="476"/>
      <c r="N160" s="1726"/>
      <c r="O160" s="1726"/>
      <c r="P160" s="1726"/>
      <c r="Q160" s="1726"/>
      <c r="R160" s="1726"/>
      <c r="S160" s="1726"/>
      <c r="T160" s="1726"/>
      <c r="V160" s="1075"/>
    </row>
    <row r="161" spans="1:24" s="294" customFormat="1" ht="15" customHeight="1" thickBot="1">
      <c r="B161" s="296" t="s">
        <v>172</v>
      </c>
      <c r="H161" s="269"/>
      <c r="M161" s="476"/>
      <c r="N161" s="1726"/>
      <c r="O161" s="1726"/>
      <c r="P161" s="1726"/>
      <c r="Q161" s="1726"/>
      <c r="R161" s="1726"/>
      <c r="S161" s="1726"/>
      <c r="T161" s="1726"/>
      <c r="V161" s="1075"/>
      <c r="W161" s="423" t="str">
        <f>B160</f>
        <v>TAX CREDIT CALCULATION - GAP METHOD</v>
      </c>
    </row>
    <row r="162" spans="1:24" s="294" customFormat="1" ht="15" customHeight="1">
      <c r="B162" s="289" t="s">
        <v>2723</v>
      </c>
      <c r="G162" s="2982" t="str">
        <f>IF(J163&gt;J162,"TDC exceeds QAP PUCL!","")</f>
        <v/>
      </c>
      <c r="H162" s="2982"/>
      <c r="I162" s="2983"/>
      <c r="J162" s="3017">
        <f>'Part VIII-Threshold Criteria'!$P$63</f>
        <v>15879750</v>
      </c>
      <c r="K162" s="3018"/>
      <c r="L162" s="3019"/>
      <c r="M162" s="2984" t="s">
        <v>2702</v>
      </c>
      <c r="N162" s="2985"/>
      <c r="O162" s="2985"/>
      <c r="P162" s="2985"/>
      <c r="Q162" s="2985"/>
      <c r="R162" s="2986"/>
      <c r="S162" s="2984" t="s">
        <v>3575</v>
      </c>
      <c r="T162" s="2986"/>
      <c r="V162" s="2333"/>
      <c r="W162" s="2961"/>
      <c r="X162" s="2962"/>
    </row>
    <row r="163" spans="1:24" s="294" customFormat="1" ht="14.1" customHeight="1">
      <c r="B163" s="294" t="s">
        <v>2704</v>
      </c>
      <c r="J163" s="3001">
        <f>MIN(G132,J162,(G132-O165))</f>
        <v>15872847</v>
      </c>
      <c r="K163" s="3002"/>
      <c r="L163" s="3003"/>
      <c r="M163" s="2987"/>
      <c r="N163" s="2988"/>
      <c r="O163" s="2988"/>
      <c r="P163" s="2988"/>
      <c r="Q163" s="2988"/>
      <c r="R163" s="2989"/>
      <c r="S163" s="2987"/>
      <c r="T163" s="2989"/>
      <c r="V163" s="2333"/>
      <c r="W163" s="2961"/>
      <c r="X163" s="2962"/>
    </row>
    <row r="164" spans="1:24" s="294" customFormat="1" ht="14.1" customHeight="1">
      <c r="B164" s="294" t="s">
        <v>260</v>
      </c>
      <c r="J164" s="2990">
        <f>'Part III-Sources of Funds'!$I$58-'Part III-Sources of Funds'!$I$42-'Part III-Sources of Funds'!$I$43-'Part III-Sources of Funds'!$I$49-'Part III-Sources of Funds'!$I$50</f>
        <v>3600000</v>
      </c>
      <c r="K164" s="3004"/>
      <c r="L164" s="3005"/>
      <c r="M164" s="2987"/>
      <c r="N164" s="2988"/>
      <c r="O164" s="2988"/>
      <c r="P164" s="2988"/>
      <c r="Q164" s="2988"/>
      <c r="R164" s="2989"/>
      <c r="S164" s="2987"/>
      <c r="T164" s="2989"/>
      <c r="V164" s="2333"/>
      <c r="W164" s="2961"/>
      <c r="X164" s="2962"/>
    </row>
    <row r="165" spans="1:24" s="294" customFormat="1" ht="14.1" customHeight="1" thickBot="1">
      <c r="B165" s="294" t="s">
        <v>2204</v>
      </c>
      <c r="J165" s="2990">
        <f>+J163-J164</f>
        <v>12272847</v>
      </c>
      <c r="K165" s="3004"/>
      <c r="L165" s="3005"/>
      <c r="M165" s="3006" t="s">
        <v>2703</v>
      </c>
      <c r="N165" s="3007"/>
      <c r="O165" s="3008">
        <f>'Part III-Sources of Funds'!$I$42</f>
        <v>0</v>
      </c>
      <c r="P165" s="3008"/>
      <c r="Q165" s="3008"/>
      <c r="R165" s="3009"/>
      <c r="S165" s="409" t="s">
        <v>1643</v>
      </c>
      <c r="T165" s="2345" t="s">
        <v>2936</v>
      </c>
      <c r="V165" s="2333"/>
      <c r="W165" s="2961"/>
      <c r="X165" s="2962"/>
    </row>
    <row r="166" spans="1:24" s="294" customFormat="1" ht="14.1" customHeight="1">
      <c r="B166" s="294" t="s">
        <v>1271</v>
      </c>
      <c r="J166" s="3010" t="str">
        <f>"/ 10"</f>
        <v>/ 10</v>
      </c>
      <c r="K166" s="3010"/>
      <c r="L166" s="3010"/>
      <c r="M166" s="1726"/>
      <c r="N166" s="473"/>
      <c r="O166" s="473"/>
      <c r="P166" s="473"/>
      <c r="Q166" s="473"/>
      <c r="R166" s="473"/>
      <c r="V166" s="1075"/>
      <c r="W166" s="2961"/>
      <c r="X166" s="2962"/>
    </row>
    <row r="167" spans="1:24" s="294" customFormat="1" ht="14.1" customHeight="1">
      <c r="B167" s="294" t="s">
        <v>1272</v>
      </c>
      <c r="J167" s="2990">
        <f>J165/10</f>
        <v>1227284.7</v>
      </c>
      <c r="K167" s="3004"/>
      <c r="L167" s="2991"/>
      <c r="M167" s="312"/>
      <c r="N167" s="2722" t="s">
        <v>1273</v>
      </c>
      <c r="O167" s="2722"/>
      <c r="Q167" s="2722" t="s">
        <v>1776</v>
      </c>
      <c r="R167" s="2722"/>
      <c r="V167" s="2333"/>
      <c r="W167" s="2961"/>
      <c r="X167" s="2962"/>
    </row>
    <row r="168" spans="1:24" s="294" customFormat="1" ht="14.1" customHeight="1" thickBot="1">
      <c r="B168" s="294" t="s">
        <v>1466</v>
      </c>
      <c r="J168" s="2992">
        <f>N168+Q168</f>
        <v>1.4300000000000002</v>
      </c>
      <c r="K168" s="2993"/>
      <c r="L168" s="2994"/>
      <c r="M168" s="1733" t="s">
        <v>1274</v>
      </c>
      <c r="N168" s="2995">
        <v>0.88</v>
      </c>
      <c r="O168" s="2996"/>
      <c r="P168" s="1733" t="s">
        <v>602</v>
      </c>
      <c r="Q168" s="2995">
        <v>0.55000000000000004</v>
      </c>
      <c r="R168" s="2996"/>
      <c r="V168" s="2333"/>
      <c r="W168" s="2961"/>
      <c r="X168" s="2962"/>
    </row>
    <row r="169" spans="1:24" s="294" customFormat="1" ht="14.1" customHeight="1" thickBot="1">
      <c r="B169" s="296" t="s">
        <v>1409</v>
      </c>
      <c r="J169" s="2829">
        <f>ROUNDDOWN(IF(J168=0,"",J167/J168),0)</f>
        <v>858241</v>
      </c>
      <c r="K169" s="2997"/>
      <c r="L169" s="2830"/>
      <c r="M169" s="312"/>
      <c r="N169" s="1726"/>
      <c r="O169" s="1726"/>
      <c r="V169" s="2333"/>
      <c r="W169" s="2961"/>
      <c r="X169" s="2962"/>
    </row>
    <row r="170" spans="1:24" s="294" customFormat="1" ht="6" customHeight="1">
      <c r="J170" s="363"/>
      <c r="K170" s="363"/>
      <c r="L170" s="363"/>
      <c r="M170" s="312"/>
      <c r="N170" s="1729"/>
      <c r="O170" s="1729"/>
      <c r="V170" s="1075"/>
      <c r="W170" s="2961"/>
      <c r="X170" s="2962"/>
    </row>
    <row r="171" spans="1:24" s="294" customFormat="1" ht="16.350000000000001" customHeight="1">
      <c r="B171" s="296" t="s">
        <v>2844</v>
      </c>
      <c r="J171" s="299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858241</v>
      </c>
      <c r="K171" s="2999"/>
      <c r="L171" s="3000"/>
      <c r="M171" s="312"/>
      <c r="N171" s="1729"/>
      <c r="O171" s="1729"/>
      <c r="V171" s="2333"/>
      <c r="W171" s="2961"/>
      <c r="X171" s="2962"/>
    </row>
    <row r="172" spans="1:24" s="294" customFormat="1" ht="3" customHeight="1">
      <c r="J172" s="363"/>
      <c r="K172" s="363"/>
      <c r="L172" s="363"/>
      <c r="M172" s="312"/>
      <c r="N172" s="1729"/>
      <c r="O172" s="1729"/>
      <c r="V172" s="1075"/>
      <c r="W172" s="2341"/>
      <c r="X172" s="2342"/>
    </row>
    <row r="173" spans="1:24" s="294" customFormat="1" ht="16.350000000000001" customHeight="1">
      <c r="B173" s="296" t="s">
        <v>346</v>
      </c>
      <c r="J173" s="3011">
        <v>858241</v>
      </c>
      <c r="K173" s="3012"/>
      <c r="L173" s="3013"/>
      <c r="M173" s="364" t="str">
        <f>IF(J171=0,"",IF(J173&gt;J171,"ALLOCATION CANNOT EXCEED MAXIMUM - REVISE REQUEST (Try Round Down)!",""))</f>
        <v/>
      </c>
      <c r="N173" s="1729"/>
      <c r="O173" s="1729"/>
      <c r="V173" s="2333"/>
      <c r="W173" s="2961"/>
      <c r="X173" s="2962"/>
    </row>
    <row r="174" spans="1:24" s="294" customFormat="1" ht="3" customHeight="1">
      <c r="J174" s="363"/>
      <c r="K174" s="363"/>
      <c r="L174" s="363"/>
      <c r="M174" s="312"/>
      <c r="N174" s="1729"/>
      <c r="O174" s="1729"/>
      <c r="V174" s="1075"/>
      <c r="W174" s="2341"/>
      <c r="X174" s="2342"/>
    </row>
    <row r="175" spans="1:24" s="294" customFormat="1" ht="16.350000000000001" customHeight="1">
      <c r="A175" s="423" t="s">
        <v>1770</v>
      </c>
      <c r="B175" s="423" t="s">
        <v>2586</v>
      </c>
      <c r="D175" s="312"/>
      <c r="E175" s="312"/>
      <c r="F175" s="1718"/>
      <c r="J175" s="3014">
        <f>IF(J173="",0,+MIN(J171,J173))</f>
        <v>858241</v>
      </c>
      <c r="K175" s="3015"/>
      <c r="L175" s="3016"/>
      <c r="N175" s="2346"/>
      <c r="O175" s="2346"/>
      <c r="P175" s="2346"/>
      <c r="Q175" s="2346"/>
      <c r="R175" s="2346"/>
      <c r="S175" s="2346"/>
      <c r="T175" s="2346"/>
      <c r="V175" s="2333"/>
      <c r="W175" s="2961"/>
      <c r="X175" s="2962"/>
    </row>
    <row r="176" spans="1:24" ht="3" customHeight="1"/>
    <row r="177" spans="1:24" ht="6" customHeight="1"/>
    <row r="178" spans="1:24" ht="12" customHeight="1">
      <c r="A178" s="296" t="s">
        <v>1772</v>
      </c>
      <c r="B178" s="321" t="s">
        <v>562</v>
      </c>
      <c r="N178" s="296" t="s">
        <v>522</v>
      </c>
      <c r="O178" s="296" t="s">
        <v>77</v>
      </c>
    </row>
    <row r="179" spans="1:24" ht="352.5" customHeight="1">
      <c r="A179" s="2838" t="s">
        <v>4915</v>
      </c>
      <c r="B179" s="2838"/>
      <c r="C179" s="2838"/>
      <c r="D179" s="2838"/>
      <c r="E179" s="2838"/>
      <c r="F179" s="2838"/>
      <c r="G179" s="2838"/>
      <c r="H179" s="2838"/>
      <c r="I179" s="2838"/>
      <c r="J179" s="2838"/>
      <c r="K179" s="2838"/>
      <c r="L179" s="2838"/>
      <c r="M179" s="2838"/>
      <c r="N179" s="3020"/>
      <c r="O179" s="3020"/>
      <c r="P179" s="3020"/>
      <c r="Q179" s="3020"/>
      <c r="R179" s="3020"/>
      <c r="S179" s="3020"/>
      <c r="T179" s="3020"/>
      <c r="V179" s="966"/>
      <c r="W179" s="2819" t="s">
        <v>2655</v>
      </c>
      <c r="X179" s="2819"/>
    </row>
    <row r="180" spans="1:24" ht="11.25" customHeight="1"/>
    <row r="181" spans="1:24" ht="12" customHeight="1"/>
    <row r="182" spans="1:24" ht="12" customHeight="1"/>
    <row r="183" spans="1:24" ht="14.4" customHeight="1"/>
    <row r="184" spans="1:24" s="294" customFormat="1" ht="14.4" customHeight="1"/>
    <row r="185" spans="1:24" s="294" customFormat="1" ht="14.4" customHeight="1"/>
    <row r="186" spans="1:24" s="294" customFormat="1" ht="14.4" customHeight="1"/>
    <row r="187" spans="1:24" ht="14.4" customHeight="1"/>
    <row r="188" spans="1:24" s="294" customFormat="1" ht="14.4" customHeight="1">
      <c r="A188" s="299"/>
    </row>
    <row r="189" spans="1:24" ht="14.4" customHeight="1"/>
    <row r="190" spans="1:24" s="294" customFormat="1" ht="14.4" customHeight="1"/>
    <row r="191" spans="1:24" s="294" customFormat="1" ht="14.4" customHeight="1">
      <c r="A191" s="299"/>
    </row>
    <row r="192" spans="1:24" s="294" customFormat="1" ht="14.4" customHeight="1">
      <c r="A192" s="480"/>
    </row>
    <row r="193" spans="1:1" s="294" customFormat="1" ht="14.4" customHeight="1"/>
    <row r="194" spans="1:1" s="294" customFormat="1" ht="14.4" customHeight="1">
      <c r="A194" s="333"/>
    </row>
    <row r="195" spans="1:1" s="294" customFormat="1" ht="14.4" customHeight="1">
      <c r="A195" s="333"/>
    </row>
    <row r="196" spans="1:1" s="294" customFormat="1" ht="14.4" customHeight="1">
      <c r="A196" s="333"/>
    </row>
    <row r="197" spans="1:1" s="294" customFormat="1" ht="14.4" customHeight="1"/>
    <row r="198" spans="1:1" s="29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9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fiRbp5+RJVRjeOK+7xWwOJXl5clGeg6iftQ03T40rUv8x9e1rt77xE0xd7hjxm0QKEnUxLhFiai+24DpqFUjRA==" saltValue="4uLSE5pyaJ73J+GvzCHRXQ=="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75"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74" priority="2" operator="greaterThan">
      <formula>$G$35</formula>
    </cfRule>
  </conditionalFormatting>
  <conditionalFormatting sqref="J36:K37 M36:N37 P36:Q37">
    <cfRule type="cellIs" dxfId="173" priority="1" operator="greaterThan">
      <formula>$G$37</formula>
    </cfRule>
  </conditionalFormatting>
  <conditionalFormatting sqref="G35">
    <cfRule type="cellIs" dxfId="172" priority="5" stopIfTrue="1" operator="greaterThan">
      <formula>$E35</formula>
    </cfRule>
  </conditionalFormatting>
  <conditionalFormatting sqref="G36">
    <cfRule type="cellIs" dxfId="171" priority="6" stopIfTrue="1" operator="greaterThan">
      <formula>$E$36</formula>
    </cfRule>
  </conditionalFormatting>
  <conditionalFormatting sqref="G37">
    <cfRule type="cellIs" dxfId="170"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2" zoomScaleNormal="100" workbookViewId="0">
      <selection activeCell="A52" sqref="A1:XFD1048576"/>
    </sheetView>
  </sheetViews>
  <sheetFormatPr defaultColWidth="9.109375" defaultRowHeight="13.2"/>
  <cols>
    <col min="1" max="1" width="7.109375" style="1345" customWidth="1"/>
    <col min="2" max="2" width="12.88671875" style="1345" customWidth="1"/>
    <col min="3" max="3" width="7.88671875" style="1345" customWidth="1"/>
    <col min="4" max="4" width="12.88671875" style="1345" customWidth="1"/>
    <col min="5" max="5" width="0.88671875" style="1345" customWidth="1"/>
    <col min="6" max="6" width="46.88671875" style="1345" customWidth="1"/>
    <col min="7" max="7" width="0.88671875" style="1345" customWidth="1"/>
    <col min="8" max="8" width="46.88671875" style="1345" customWidth="1"/>
    <col min="9" max="16384" width="9.109375" style="1345"/>
  </cols>
  <sheetData>
    <row r="1" spans="1:14" ht="15.6">
      <c r="A1" s="3118" t="str">
        <f>CONCATENATE("PART FOUR (b) -  OTHER COSTS","  -  ",'Part I-Project Information'!$O$6," - ",'Part I-Project Information'!$F$34,"  -  ",'Part I-Project Information'!$F$38,"  -  ",'Part I-Project Information'!$J$39,",  ","County")</f>
        <v>PART FOUR (b) -  OTHER COSTS  -  2019-063 - Haven at South Atlanta  -  Atlanta  -  Fulton,  County</v>
      </c>
      <c r="B1" s="3119"/>
      <c r="C1" s="3119"/>
      <c r="D1" s="3119"/>
      <c r="E1" s="3119"/>
      <c r="F1" s="3119"/>
      <c r="G1" s="3119"/>
      <c r="H1" s="3119"/>
      <c r="I1" s="942"/>
      <c r="J1" s="942"/>
      <c r="K1" s="942"/>
      <c r="L1" s="942"/>
      <c r="M1" s="942"/>
      <c r="N1" s="942"/>
    </row>
    <row r="2" spans="1:14" ht="9" customHeight="1"/>
    <row r="3" spans="1:14" ht="57" customHeight="1">
      <c r="A3" s="3120" t="s">
        <v>3612</v>
      </c>
      <c r="B3" s="3121"/>
      <c r="C3" s="3121"/>
      <c r="D3" s="3121"/>
      <c r="E3" s="3121"/>
      <c r="F3" s="3121"/>
      <c r="G3" s="3121"/>
      <c r="H3" s="3122"/>
    </row>
    <row r="4" spans="1:14" ht="6" customHeight="1"/>
    <row r="5" spans="1:14" ht="38.25" customHeight="1">
      <c r="A5" s="3123" t="s">
        <v>3705</v>
      </c>
      <c r="B5" s="3123"/>
      <c r="C5" s="3123"/>
      <c r="D5" s="3123"/>
      <c r="F5" s="943" t="s">
        <v>3603</v>
      </c>
      <c r="G5" s="561"/>
      <c r="H5" s="943" t="s">
        <v>3604</v>
      </c>
    </row>
    <row r="6" spans="1:14" ht="6.75" customHeight="1">
      <c r="A6" s="561"/>
      <c r="B6" s="561"/>
      <c r="C6" s="561"/>
      <c r="D6" s="561"/>
    </row>
    <row r="7" spans="1:14" s="2347" customFormat="1" ht="4.5" customHeight="1">
      <c r="A7" s="944"/>
      <c r="B7" s="944"/>
      <c r="C7" s="944"/>
      <c r="D7" s="944"/>
      <c r="E7" s="944"/>
      <c r="F7" s="944"/>
      <c r="G7" s="944"/>
    </row>
    <row r="8" spans="1:14" s="2347" customFormat="1">
      <c r="A8" s="953" t="s">
        <v>100</v>
      </c>
      <c r="B8" s="945"/>
      <c r="C8" s="945"/>
      <c r="D8" s="945"/>
      <c r="E8" s="945"/>
      <c r="F8" s="945"/>
      <c r="G8" s="945"/>
      <c r="H8" s="945"/>
    </row>
    <row r="9" spans="1:14" s="2347" customFormat="1" ht="41.25" customHeight="1">
      <c r="A9" s="3115" t="str">
        <f>'Part IV-A-Uses of Funds'!$C$14</f>
        <v>&lt;&lt; Enter description here; provide detail &amp; justification in tab Part IV-b &gt;&gt;</v>
      </c>
      <c r="B9" s="3116"/>
      <c r="C9" s="3116"/>
      <c r="D9" s="3117"/>
      <c r="F9" s="3112"/>
      <c r="G9" s="945"/>
      <c r="H9" s="3112"/>
    </row>
    <row r="10" spans="1:14" s="2347" customFormat="1" ht="41.25" customHeight="1">
      <c r="A10" s="3106"/>
      <c r="B10" s="3107"/>
      <c r="C10" s="3107"/>
      <c r="D10" s="3108"/>
      <c r="F10" s="3113"/>
      <c r="G10" s="945"/>
      <c r="H10" s="3113"/>
    </row>
    <row r="11" spans="1:14" s="2347" customFormat="1" ht="4.5" customHeight="1">
      <c r="F11" s="3113"/>
      <c r="G11" s="945"/>
      <c r="H11" s="3113"/>
    </row>
    <row r="12" spans="1:14" s="2347" customFormat="1" ht="15" customHeight="1">
      <c r="A12" s="952" t="s">
        <v>3606</v>
      </c>
      <c r="B12" s="951">
        <f>'Part IV-A-Uses of Funds'!$G$14</f>
        <v>0</v>
      </c>
      <c r="C12" s="952" t="s">
        <v>1768</v>
      </c>
      <c r="D12" s="951">
        <f>'Part IV-A-Uses of Funds'!$J$14+'Part IV-A-Uses of Funds'!$M$14+'Part IV-A-Uses of Funds'!$P$14</f>
        <v>0</v>
      </c>
      <c r="F12" s="3113"/>
      <c r="G12" s="945"/>
      <c r="H12" s="3113"/>
    </row>
    <row r="13" spans="1:14" s="2347" customFormat="1" ht="6" customHeight="1">
      <c r="A13" s="945"/>
      <c r="B13" s="946"/>
      <c r="C13" s="945"/>
      <c r="D13" s="945"/>
      <c r="F13" s="3113"/>
      <c r="G13" s="947"/>
      <c r="H13" s="3113"/>
    </row>
    <row r="14" spans="1:14" s="2347" customFormat="1" ht="41.25" customHeight="1">
      <c r="A14" s="3115" t="str">
        <f>'Part IV-A-Uses of Funds'!$C$15</f>
        <v>&lt;&lt; Enter description here; provide detail &amp; justification in tab Part IV-b &gt;&gt;</v>
      </c>
      <c r="B14" s="3116"/>
      <c r="C14" s="3116"/>
      <c r="D14" s="3117"/>
      <c r="F14" s="3113"/>
      <c r="G14" s="945"/>
      <c r="H14" s="3113"/>
    </row>
    <row r="15" spans="1:14" s="2347" customFormat="1" ht="41.25" customHeight="1">
      <c r="A15" s="3106"/>
      <c r="B15" s="3107"/>
      <c r="C15" s="3107"/>
      <c r="D15" s="3108"/>
      <c r="F15" s="3113"/>
      <c r="G15" s="945"/>
      <c r="H15" s="3113"/>
    </row>
    <row r="16" spans="1:14" s="2347" customFormat="1" ht="4.5" customHeight="1">
      <c r="F16" s="3113"/>
      <c r="G16" s="945"/>
      <c r="H16" s="3113"/>
    </row>
    <row r="17" spans="1:8" s="2347" customFormat="1" ht="15" customHeight="1">
      <c r="A17" s="952" t="s">
        <v>3606</v>
      </c>
      <c r="B17" s="951">
        <f>'Part IV-A-Uses of Funds'!$G$15</f>
        <v>0</v>
      </c>
      <c r="C17" s="952" t="s">
        <v>1768</v>
      </c>
      <c r="D17" s="951">
        <f>'Part IV-A-Uses of Funds'!$J$15+'Part IV-A-Uses of Funds'!$M$15+'Part IV-A-Uses of Funds'!$P$15</f>
        <v>0</v>
      </c>
      <c r="F17" s="3113"/>
      <c r="G17" s="945"/>
      <c r="H17" s="3113"/>
    </row>
    <row r="18" spans="1:8" s="2347" customFormat="1" ht="6" customHeight="1">
      <c r="A18" s="945"/>
      <c r="B18" s="946"/>
      <c r="C18" s="945"/>
      <c r="D18" s="945"/>
      <c r="F18" s="3113"/>
      <c r="G18" s="947"/>
      <c r="H18" s="3113"/>
    </row>
    <row r="19" spans="1:8" s="2347" customFormat="1" ht="41.25" customHeight="1">
      <c r="A19" s="3115" t="str">
        <f>'Part IV-A-Uses of Funds'!$C$16</f>
        <v>&lt;&lt; Enter description here; provide detail &amp; justification in tab Part IV-b &gt;&gt;</v>
      </c>
      <c r="B19" s="3116"/>
      <c r="C19" s="3116"/>
      <c r="D19" s="3117"/>
      <c r="F19" s="3113"/>
      <c r="G19" s="945"/>
      <c r="H19" s="3113"/>
    </row>
    <row r="20" spans="1:8" s="2347" customFormat="1" ht="41.25" customHeight="1">
      <c r="A20" s="3106"/>
      <c r="B20" s="3107"/>
      <c r="C20" s="3107"/>
      <c r="D20" s="3108"/>
      <c r="F20" s="3113"/>
      <c r="G20" s="945"/>
      <c r="H20" s="3113"/>
    </row>
    <row r="21" spans="1:8" s="2347" customFormat="1" ht="4.5" customHeight="1">
      <c r="F21" s="3113"/>
      <c r="G21" s="945"/>
      <c r="H21" s="3113"/>
    </row>
    <row r="22" spans="1:8" s="2347" customFormat="1" ht="15" customHeight="1">
      <c r="A22" s="952" t="s">
        <v>3606</v>
      </c>
      <c r="B22" s="951">
        <f>'Part IV-A-Uses of Funds'!$G$16</f>
        <v>0</v>
      </c>
      <c r="C22" s="952" t="s">
        <v>1768</v>
      </c>
      <c r="D22" s="951">
        <f>'Part IV-A-Uses of Funds'!$J$16+'Part IV-A-Uses of Funds'!$M$16+'Part IV-A-Uses of Funds'!$P$16</f>
        <v>0</v>
      </c>
      <c r="F22" s="3113"/>
      <c r="G22" s="945"/>
      <c r="H22" s="3113"/>
    </row>
    <row r="23" spans="1:8" s="2347" customFormat="1" ht="6" customHeight="1">
      <c r="A23" s="945"/>
      <c r="B23" s="946"/>
      <c r="C23" s="945"/>
      <c r="D23" s="945"/>
      <c r="F23" s="3114"/>
      <c r="G23" s="947"/>
      <c r="H23" s="3114"/>
    </row>
    <row r="24" spans="1:8" s="2347" customFormat="1">
      <c r="A24" s="953" t="s">
        <v>3605</v>
      </c>
      <c r="B24" s="945"/>
      <c r="C24" s="945"/>
      <c r="D24" s="945"/>
      <c r="E24" s="945"/>
      <c r="F24" s="945"/>
      <c r="G24" s="945"/>
    </row>
    <row r="25" spans="1:8" s="2347" customFormat="1" ht="41.25" customHeight="1">
      <c r="A25" s="3115" t="str">
        <f>'Part IV-A-Uses of Funds'!$C$41</f>
        <v>&lt;&lt; Enter description here; provide detail &amp; justification in tab Part IV-b &gt;&gt;</v>
      </c>
      <c r="B25" s="3116"/>
      <c r="C25" s="3116"/>
      <c r="D25" s="3117"/>
      <c r="E25" s="945"/>
      <c r="F25" s="3109"/>
      <c r="G25" s="945"/>
      <c r="H25" s="3109"/>
    </row>
    <row r="26" spans="1:8" s="2347" customFormat="1" ht="41.25" customHeight="1">
      <c r="A26" s="3106"/>
      <c r="B26" s="3107"/>
      <c r="C26" s="3107"/>
      <c r="D26" s="3108"/>
      <c r="E26" s="945"/>
      <c r="F26" s="3110"/>
      <c r="G26" s="945"/>
      <c r="H26" s="3110"/>
    </row>
    <row r="27" spans="1:8" s="2347" customFormat="1" ht="4.5" customHeight="1">
      <c r="A27" s="945"/>
      <c r="B27" s="945"/>
      <c r="C27" s="945"/>
      <c r="D27" s="945"/>
      <c r="E27" s="945"/>
      <c r="F27" s="3110"/>
      <c r="G27" s="945"/>
      <c r="H27" s="3110"/>
    </row>
    <row r="28" spans="1:8" s="2347" customFormat="1" ht="10.199999999999999">
      <c r="A28" s="952" t="s">
        <v>3606</v>
      </c>
      <c r="B28" s="951">
        <f>'Part IV-A-Uses of Funds'!$G$41</f>
        <v>0</v>
      </c>
      <c r="C28" s="952" t="s">
        <v>1768</v>
      </c>
      <c r="D28" s="951">
        <f>'Part IV-A-Uses of Funds'!$J$41+'Part IV-A-Uses of Funds'!$M$41+'Part IV-A-Uses of Funds'!$P$41</f>
        <v>0</v>
      </c>
      <c r="E28" s="945"/>
      <c r="F28" s="3110"/>
      <c r="G28" s="945"/>
      <c r="H28" s="3110"/>
    </row>
    <row r="29" spans="1:8" s="2347" customFormat="1" ht="6" customHeight="1">
      <c r="A29" s="945"/>
      <c r="B29" s="946"/>
      <c r="C29" s="945"/>
      <c r="D29" s="945"/>
      <c r="E29" s="945"/>
      <c r="F29" s="3111"/>
      <c r="G29" s="947"/>
      <c r="H29" s="3111"/>
    </row>
    <row r="30" spans="1:8" s="2347" customFormat="1">
      <c r="A30" s="953" t="s">
        <v>711</v>
      </c>
      <c r="B30" s="945"/>
      <c r="C30" s="945"/>
      <c r="D30" s="945"/>
      <c r="E30" s="945"/>
      <c r="F30" s="945"/>
      <c r="G30" s="945"/>
    </row>
    <row r="31" spans="1:8" s="2347" customFormat="1" ht="41.25" customHeight="1">
      <c r="A31" s="3103" t="str">
        <f>'Part IV-A-Uses of Funds'!$C$62</f>
        <v xml:space="preserve">Lender's Due Diligence Fee </v>
      </c>
      <c r="B31" s="3104"/>
      <c r="C31" s="3104"/>
      <c r="D31" s="3105"/>
      <c r="E31" s="945"/>
      <c r="F31" s="3112" t="s">
        <v>4913</v>
      </c>
      <c r="G31" s="945"/>
      <c r="H31" s="3112"/>
    </row>
    <row r="32" spans="1:8" s="2347" customFormat="1" ht="41.25" customHeight="1">
      <c r="A32" s="3106"/>
      <c r="B32" s="3107"/>
      <c r="C32" s="3107"/>
      <c r="D32" s="3108"/>
      <c r="E32" s="945"/>
      <c r="F32" s="3113"/>
      <c r="G32" s="945"/>
      <c r="H32" s="3113"/>
    </row>
    <row r="33" spans="1:8" s="2347" customFormat="1" ht="4.5" customHeight="1">
      <c r="A33" s="945"/>
      <c r="B33" s="945"/>
      <c r="C33" s="945"/>
      <c r="D33" s="945"/>
      <c r="E33" s="945"/>
      <c r="F33" s="3113"/>
      <c r="G33" s="945"/>
      <c r="H33" s="3113"/>
    </row>
    <row r="34" spans="1:8" s="2347" customFormat="1" ht="14.25" customHeight="1">
      <c r="A34" s="952" t="s">
        <v>3606</v>
      </c>
      <c r="B34" s="951">
        <f>'Part IV-A-Uses of Funds'!$G$62</f>
        <v>25000</v>
      </c>
      <c r="C34" s="952" t="s">
        <v>1768</v>
      </c>
      <c r="D34" s="951">
        <f>'Part IV-A-Uses of Funds'!$J$62+'Part IV-A-Uses of Funds'!$M$62+'Part IV-A-Uses of Funds'!$P$62</f>
        <v>10000</v>
      </c>
      <c r="E34" s="945"/>
      <c r="F34" s="3113"/>
      <c r="G34" s="945"/>
      <c r="H34" s="3113"/>
    </row>
    <row r="35" spans="1:8" s="2347" customFormat="1" ht="6" customHeight="1">
      <c r="D35" s="945"/>
      <c r="E35" s="945"/>
      <c r="F35" s="3113"/>
      <c r="G35" s="947"/>
      <c r="H35" s="3113"/>
    </row>
    <row r="36" spans="1:8" s="2347" customFormat="1" ht="41.25" customHeight="1">
      <c r="A36" s="3103" t="str">
        <f>'Part IV-A-Uses of Funds'!$C$63</f>
        <v>Invest Atlant's Fees</v>
      </c>
      <c r="B36" s="3104"/>
      <c r="C36" s="3104"/>
      <c r="D36" s="3105"/>
      <c r="E36" s="945"/>
      <c r="F36" s="3113" t="s">
        <v>4912</v>
      </c>
      <c r="G36" s="945"/>
      <c r="H36" s="3113"/>
    </row>
    <row r="37" spans="1:8" s="2347" customFormat="1" ht="41.25" customHeight="1">
      <c r="A37" s="3106"/>
      <c r="B37" s="3107"/>
      <c r="C37" s="3107"/>
      <c r="D37" s="3108"/>
      <c r="E37" s="945"/>
      <c r="F37" s="3113"/>
      <c r="G37" s="945"/>
      <c r="H37" s="3113"/>
    </row>
    <row r="38" spans="1:8" s="2347" customFormat="1" ht="4.5" customHeight="1">
      <c r="A38" s="945"/>
      <c r="B38" s="945"/>
      <c r="C38" s="945"/>
      <c r="D38" s="945"/>
      <c r="E38" s="945"/>
      <c r="F38" s="3113"/>
      <c r="G38" s="945"/>
      <c r="H38" s="3113"/>
    </row>
    <row r="39" spans="1:8" s="2347" customFormat="1" ht="14.25" customHeight="1">
      <c r="A39" s="952" t="s">
        <v>3606</v>
      </c>
      <c r="B39" s="951">
        <f>'Part IV-A-Uses of Funds'!$G$63</f>
        <v>4500</v>
      </c>
      <c r="C39" s="952" t="s">
        <v>1768</v>
      </c>
      <c r="D39" s="951">
        <f>'Part IV-A-Uses of Funds'!$J$63+'Part IV-A-Uses of Funds'!$M$63+'Part IV-A-Uses of Funds'!$P$63</f>
        <v>1500</v>
      </c>
      <c r="E39" s="945"/>
      <c r="F39" s="3113"/>
      <c r="G39" s="945"/>
      <c r="H39" s="3113"/>
    </row>
    <row r="40" spans="1:8" s="2347" customFormat="1" ht="6" customHeight="1">
      <c r="D40" s="945"/>
      <c r="E40" s="945"/>
      <c r="F40" s="3114"/>
      <c r="G40" s="947"/>
      <c r="H40" s="3114"/>
    </row>
    <row r="41" spans="1:8" s="2347" customFormat="1">
      <c r="A41" s="953" t="s">
        <v>472</v>
      </c>
      <c r="B41" s="945"/>
      <c r="C41" s="945"/>
      <c r="D41" s="945"/>
      <c r="E41" s="949"/>
      <c r="F41" s="949"/>
      <c r="G41" s="945"/>
    </row>
    <row r="42" spans="1:8" s="2347" customFormat="1" ht="41.25" customHeight="1">
      <c r="A42" s="3103" t="str">
        <f>'Part IV-A-Uses of Funds'!$C$76</f>
        <v>&lt;&lt; Enter description here; provide detail &amp; justification in tab Part IV-b &gt;&gt;</v>
      </c>
      <c r="B42" s="3104"/>
      <c r="C42" s="3104"/>
      <c r="D42" s="3105"/>
      <c r="F42" s="3109"/>
      <c r="G42" s="945"/>
      <c r="H42" s="3109"/>
    </row>
    <row r="43" spans="1:8" s="2347" customFormat="1" ht="41.25" customHeight="1">
      <c r="A43" s="3106"/>
      <c r="B43" s="3107"/>
      <c r="C43" s="3107"/>
      <c r="D43" s="3108"/>
      <c r="E43" s="945"/>
      <c r="F43" s="3110"/>
      <c r="G43" s="945"/>
      <c r="H43" s="3110"/>
    </row>
    <row r="44" spans="1:8" s="2347" customFormat="1" ht="4.5" customHeight="1">
      <c r="A44" s="945"/>
      <c r="B44" s="945"/>
      <c r="C44" s="945"/>
      <c r="D44" s="945"/>
      <c r="E44" s="945"/>
      <c r="F44" s="3110"/>
      <c r="G44" s="945"/>
      <c r="H44" s="3110"/>
    </row>
    <row r="45" spans="1:8" s="2347" customFormat="1" ht="13.5" customHeight="1">
      <c r="A45" s="952" t="s">
        <v>3606</v>
      </c>
      <c r="B45" s="951">
        <f>'Part IV-A-Uses of Funds'!$G$76</f>
        <v>0</v>
      </c>
      <c r="C45" s="952" t="s">
        <v>1768</v>
      </c>
      <c r="D45" s="951">
        <f>'Part IV-A-Uses of Funds'!$J$76+'Part IV-A-Uses of Funds'!$M$76+'Part IV-A-Uses of Funds'!$P$76</f>
        <v>0</v>
      </c>
      <c r="E45" s="945"/>
      <c r="F45" s="3110"/>
      <c r="G45" s="945"/>
      <c r="H45" s="3110"/>
    </row>
    <row r="46" spans="1:8" s="2347" customFormat="1" ht="6" customHeight="1">
      <c r="A46" s="945"/>
      <c r="B46" s="946"/>
      <c r="C46" s="945"/>
      <c r="D46" s="945"/>
      <c r="E46" s="945"/>
      <c r="F46" s="3111"/>
      <c r="G46" s="947"/>
      <c r="H46" s="3111"/>
    </row>
    <row r="47" spans="1:8" s="2347" customFormat="1">
      <c r="A47" s="953" t="s">
        <v>713</v>
      </c>
      <c r="B47" s="945"/>
      <c r="C47" s="945"/>
      <c r="D47" s="945"/>
      <c r="E47" s="945"/>
      <c r="F47" s="945"/>
      <c r="G47" s="945"/>
    </row>
    <row r="48" spans="1:8" s="2347" customFormat="1" ht="41.25" customHeight="1">
      <c r="A48" s="3103" t="str">
        <f>'Part IV-A-Uses of Funds'!$C$90</f>
        <v>&lt;&lt; Enter description here; provide detail &amp; justification in tab Part IV-b &gt;&gt;</v>
      </c>
      <c r="B48" s="3104"/>
      <c r="C48" s="3104"/>
      <c r="D48" s="3105"/>
      <c r="F48" s="3109"/>
      <c r="G48" s="945"/>
    </row>
    <row r="49" spans="1:7" s="2347" customFormat="1" ht="41.25" customHeight="1">
      <c r="A49" s="3106"/>
      <c r="B49" s="3107"/>
      <c r="C49" s="3107"/>
      <c r="D49" s="3108"/>
      <c r="E49" s="945"/>
      <c r="F49" s="3110"/>
      <c r="G49" s="945"/>
    </row>
    <row r="50" spans="1:7" s="2347" customFormat="1" ht="3" customHeight="1">
      <c r="A50" s="945"/>
      <c r="B50" s="945"/>
      <c r="C50" s="945"/>
      <c r="D50" s="945"/>
      <c r="E50" s="945"/>
      <c r="F50" s="3110"/>
      <c r="G50" s="945"/>
    </row>
    <row r="51" spans="1:7" s="2347" customFormat="1" ht="13.5" customHeight="1">
      <c r="A51" s="952" t="s">
        <v>3606</v>
      </c>
      <c r="B51" s="951">
        <f>'Part IV-A-Uses of Funds'!$G$90</f>
        <v>0</v>
      </c>
      <c r="C51" s="948"/>
      <c r="D51" s="948"/>
      <c r="E51" s="945"/>
      <c r="F51" s="3110"/>
      <c r="G51" s="945"/>
    </row>
    <row r="52" spans="1:7" s="2347" customFormat="1" ht="3.75" customHeight="1">
      <c r="A52" s="945"/>
      <c r="B52" s="945"/>
      <c r="C52" s="945"/>
      <c r="D52" s="945"/>
      <c r="E52" s="945"/>
      <c r="F52" s="3111"/>
      <c r="G52" s="947"/>
    </row>
    <row r="53" spans="1:7" s="2347" customFormat="1">
      <c r="A53" s="953" t="s">
        <v>3607</v>
      </c>
      <c r="B53" s="945"/>
      <c r="C53" s="945"/>
      <c r="D53" s="945"/>
      <c r="E53" s="945"/>
      <c r="F53" s="945"/>
      <c r="G53" s="945"/>
    </row>
    <row r="54" spans="1:7" s="2347" customFormat="1" ht="41.25" customHeight="1">
      <c r="A54" s="3103" t="str">
        <f>'Part IV-A-Uses of Funds'!$C$103</f>
        <v>&lt;&lt; Enter description here; provide detail &amp; justification in tab Part IV-b &gt;&gt;</v>
      </c>
      <c r="B54" s="3104"/>
      <c r="C54" s="3104"/>
      <c r="D54" s="3105"/>
      <c r="F54" s="3112"/>
      <c r="G54" s="945"/>
    </row>
    <row r="55" spans="1:7" s="2347" customFormat="1" ht="41.25" customHeight="1">
      <c r="A55" s="3106"/>
      <c r="B55" s="3107"/>
      <c r="C55" s="3107"/>
      <c r="D55" s="3108"/>
      <c r="E55" s="945"/>
      <c r="F55" s="3113"/>
      <c r="G55" s="945"/>
    </row>
    <row r="56" spans="1:7" s="2347" customFormat="1" ht="3" customHeight="1">
      <c r="A56" s="945"/>
      <c r="B56" s="945"/>
      <c r="C56" s="945"/>
      <c r="D56" s="945"/>
      <c r="E56" s="945"/>
      <c r="F56" s="3113"/>
      <c r="G56" s="945"/>
    </row>
    <row r="57" spans="1:7" s="2347" customFormat="1" ht="10.199999999999999">
      <c r="A57" s="952" t="s">
        <v>3606</v>
      </c>
      <c r="B57" s="951">
        <f>'Part IV-A-Uses of Funds'!$G$103</f>
        <v>0</v>
      </c>
      <c r="C57" s="948"/>
      <c r="D57" s="948"/>
      <c r="E57" s="945"/>
      <c r="F57" s="3113"/>
      <c r="G57" s="945"/>
    </row>
    <row r="58" spans="1:7" s="2347" customFormat="1" ht="3.75" customHeight="1">
      <c r="A58" s="944"/>
      <c r="B58" s="944"/>
      <c r="C58" s="944"/>
      <c r="D58" s="944"/>
      <c r="E58" s="944"/>
      <c r="F58" s="3113"/>
      <c r="G58" s="947"/>
    </row>
    <row r="59" spans="1:7" s="2347" customFormat="1" ht="41.25" customHeight="1">
      <c r="A59" s="3103" t="str">
        <f>'Part IV-A-Uses of Funds'!$C$104</f>
        <v>&lt;&lt; Enter description here; provide detail &amp; justification in tab Part IV-b &gt;&gt;</v>
      </c>
      <c r="B59" s="3104"/>
      <c r="C59" s="3104"/>
      <c r="D59" s="3105"/>
      <c r="F59" s="3113"/>
      <c r="G59" s="945"/>
    </row>
    <row r="60" spans="1:7" s="2347" customFormat="1" ht="41.25" customHeight="1">
      <c r="A60" s="3106"/>
      <c r="B60" s="3107"/>
      <c r="C60" s="3107"/>
      <c r="D60" s="3108"/>
      <c r="E60" s="945"/>
      <c r="F60" s="3113"/>
      <c r="G60" s="945"/>
    </row>
    <row r="61" spans="1:7" s="2347" customFormat="1" ht="3" customHeight="1">
      <c r="A61" s="945"/>
      <c r="B61" s="945"/>
      <c r="C61" s="945"/>
      <c r="D61" s="945"/>
      <c r="E61" s="945"/>
      <c r="F61" s="3113"/>
      <c r="G61" s="945"/>
    </row>
    <row r="62" spans="1:7" s="2347" customFormat="1" ht="10.199999999999999">
      <c r="A62" s="952" t="s">
        <v>3606</v>
      </c>
      <c r="B62" s="951">
        <f>'Part IV-A-Uses of Funds'!$G$104</f>
        <v>0</v>
      </c>
      <c r="C62" s="948"/>
      <c r="D62" s="948"/>
      <c r="E62" s="945"/>
      <c r="F62" s="3113"/>
      <c r="G62" s="945"/>
    </row>
    <row r="63" spans="1:7" s="2347" customFormat="1" ht="3.75" customHeight="1">
      <c r="A63" s="944"/>
      <c r="B63" s="944"/>
      <c r="C63" s="944"/>
      <c r="D63" s="944"/>
      <c r="E63" s="944"/>
      <c r="F63" s="3114"/>
      <c r="G63" s="947"/>
    </row>
    <row r="64" spans="1:7" s="2347" customFormat="1">
      <c r="A64" s="953" t="s">
        <v>3608</v>
      </c>
      <c r="B64" s="945"/>
      <c r="C64" s="945"/>
      <c r="D64" s="945"/>
      <c r="E64" s="945"/>
      <c r="F64" s="945"/>
      <c r="G64" s="945"/>
    </row>
    <row r="65" spans="1:8" s="2347" customFormat="1" ht="41.25" customHeight="1">
      <c r="A65" s="3103" t="str">
        <f>'Part IV-A-Uses of Funds'!$C$110</f>
        <v>Due Diligence Review Fee</v>
      </c>
      <c r="B65" s="3104"/>
      <c r="C65" s="3104"/>
      <c r="D65" s="3105"/>
      <c r="F65" s="3109" t="s">
        <v>4914</v>
      </c>
      <c r="G65" s="945"/>
    </row>
    <row r="66" spans="1:8" s="2347" customFormat="1" ht="41.25" customHeight="1">
      <c r="A66" s="3106"/>
      <c r="B66" s="3107"/>
      <c r="C66" s="3107"/>
      <c r="D66" s="3108"/>
      <c r="E66" s="945"/>
      <c r="F66" s="3110"/>
      <c r="G66" s="945"/>
    </row>
    <row r="67" spans="1:8" s="2347" customFormat="1" ht="3" customHeight="1">
      <c r="A67" s="945"/>
      <c r="B67" s="945"/>
      <c r="C67" s="945"/>
      <c r="D67" s="945"/>
      <c r="E67" s="945"/>
      <c r="F67" s="3110"/>
      <c r="G67" s="945"/>
    </row>
    <row r="68" spans="1:8" s="2347" customFormat="1" ht="10.199999999999999">
      <c r="A68" s="952" t="s">
        <v>3606</v>
      </c>
      <c r="B68" s="951">
        <f>'Part IV-A-Uses of Funds'!$G$110</f>
        <v>25000</v>
      </c>
      <c r="C68" s="948"/>
      <c r="D68" s="948"/>
      <c r="E68" s="945"/>
      <c r="F68" s="3110"/>
      <c r="G68" s="945"/>
    </row>
    <row r="69" spans="1:8" s="2347" customFormat="1" ht="3.75" customHeight="1">
      <c r="A69" s="945"/>
      <c r="B69" s="946"/>
      <c r="C69" s="945"/>
      <c r="D69" s="945"/>
      <c r="E69" s="945"/>
      <c r="F69" s="3111"/>
      <c r="G69" s="947"/>
    </row>
    <row r="70" spans="1:8" s="2347" customFormat="1">
      <c r="A70" s="953" t="s">
        <v>1294</v>
      </c>
      <c r="B70" s="945"/>
      <c r="C70" s="945"/>
      <c r="D70" s="945"/>
      <c r="E70" s="945"/>
      <c r="F70" s="945"/>
      <c r="G70" s="945"/>
    </row>
    <row r="71" spans="1:8" s="2347" customFormat="1" ht="41.25" customHeight="1">
      <c r="A71" s="3103" t="str">
        <f>'Part IV-A-Uses of Funds'!$C$125</f>
        <v>&lt;&lt; Enter description here; provide detail &amp; justification in tab Part IV-b &gt;&gt;</v>
      </c>
      <c r="B71" s="3104"/>
      <c r="C71" s="3104"/>
      <c r="D71" s="3105"/>
      <c r="F71" s="3109"/>
      <c r="G71" s="945"/>
      <c r="H71" s="3109"/>
    </row>
    <row r="72" spans="1:8" s="2347" customFormat="1" ht="41.25" customHeight="1">
      <c r="A72" s="3106"/>
      <c r="B72" s="3107"/>
      <c r="C72" s="3107"/>
      <c r="D72" s="3108"/>
      <c r="E72" s="945"/>
      <c r="F72" s="3110"/>
      <c r="G72" s="945"/>
      <c r="H72" s="3110"/>
    </row>
    <row r="73" spans="1:8" s="2347" customFormat="1" ht="4.5" customHeight="1">
      <c r="A73" s="945"/>
      <c r="B73" s="945"/>
      <c r="C73" s="945"/>
      <c r="D73" s="945"/>
      <c r="E73" s="945"/>
      <c r="F73" s="3110"/>
      <c r="G73" s="945"/>
      <c r="H73" s="3110"/>
    </row>
    <row r="74" spans="1:8" s="2347" customFormat="1" ht="12.75" customHeight="1">
      <c r="A74" s="952" t="s">
        <v>3606</v>
      </c>
      <c r="B74" s="951">
        <f>'Part IV-A-Uses of Funds'!$G$125</f>
        <v>0</v>
      </c>
      <c r="C74" s="952" t="s">
        <v>1768</v>
      </c>
      <c r="D74" s="951">
        <f>'Part IV-A-Uses of Funds'!$J$125+'Part IV-A-Uses of Funds'!$M$125+'Part IV-A-Uses of Funds'!$P$125</f>
        <v>0</v>
      </c>
      <c r="E74" s="945"/>
      <c r="F74" s="3110"/>
      <c r="G74" s="945"/>
      <c r="H74" s="3110"/>
    </row>
    <row r="75" spans="1:8" s="2347" customFormat="1" ht="6" customHeight="1">
      <c r="A75" s="945"/>
      <c r="B75" s="946"/>
      <c r="C75" s="945"/>
      <c r="D75" s="945"/>
      <c r="E75" s="945"/>
      <c r="F75" s="3111"/>
      <c r="G75" s="947"/>
      <c r="H75" s="3111"/>
    </row>
    <row r="76" spans="1:8" s="2347" customFormat="1">
      <c r="A76" s="953" t="s">
        <v>3609</v>
      </c>
      <c r="B76" s="946"/>
      <c r="C76" s="945"/>
      <c r="D76" s="945"/>
      <c r="E76" s="945"/>
      <c r="F76" s="945"/>
      <c r="G76" s="947"/>
    </row>
    <row r="77" spans="1:8" s="2347" customFormat="1" ht="41.25" customHeight="1">
      <c r="A77" s="3103" t="str">
        <f>'Part IV-A-Uses of Funds'!$C$129</f>
        <v>&lt;&lt; Enter description here; provide detail &amp; justification in tab Part IV-b &gt;&gt;</v>
      </c>
      <c r="B77" s="3104"/>
      <c r="C77" s="3104"/>
      <c r="D77" s="3105"/>
      <c r="F77" s="3109"/>
      <c r="G77" s="945"/>
      <c r="H77" s="3109"/>
    </row>
    <row r="78" spans="1:8" s="2347" customFormat="1" ht="41.25" customHeight="1">
      <c r="A78" s="3106"/>
      <c r="B78" s="3107"/>
      <c r="C78" s="3107"/>
      <c r="D78" s="3108"/>
      <c r="E78" s="945"/>
      <c r="F78" s="3110"/>
      <c r="G78" s="945"/>
      <c r="H78" s="3110"/>
    </row>
    <row r="79" spans="1:8" s="2347" customFormat="1" ht="4.5" customHeight="1">
      <c r="A79" s="945"/>
      <c r="B79" s="945"/>
      <c r="C79" s="945"/>
      <c r="D79" s="945"/>
      <c r="E79" s="945"/>
      <c r="F79" s="3110"/>
      <c r="G79" s="945"/>
      <c r="H79" s="3110"/>
    </row>
    <row r="80" spans="1:8" s="2347" customFormat="1" ht="12.75" customHeight="1">
      <c r="A80" s="952" t="s">
        <v>3606</v>
      </c>
      <c r="B80" s="951">
        <f>'Part IV-A-Uses of Funds'!$G$129</f>
        <v>0</v>
      </c>
      <c r="C80" s="952" t="s">
        <v>1768</v>
      </c>
      <c r="D80" s="951">
        <f>'Part IV-A-Uses of Funds'!$J$129+'Part IV-A-Uses of Funds'!$M$129+'Part IV-A-Uses of Funds'!$P$129</f>
        <v>0</v>
      </c>
      <c r="E80" s="950"/>
      <c r="F80" s="3110"/>
      <c r="G80" s="945"/>
      <c r="H80" s="3110"/>
    </row>
    <row r="81" spans="4:8" s="2347" customFormat="1" ht="6" customHeight="1">
      <c r="D81" s="1716"/>
      <c r="E81" s="2348"/>
      <c r="F81" s="3111"/>
      <c r="G81" s="947"/>
      <c r="H81" s="3111"/>
    </row>
    <row r="82" spans="4:8" s="2347" customFormat="1" ht="10.199999999999999"/>
    <row r="83" spans="4:8" s="2347" customFormat="1" ht="10.199999999999999"/>
    <row r="84" spans="4:8" s="2347" customFormat="1" ht="10.199999999999999"/>
    <row r="85" spans="4:8" s="2347" customFormat="1" ht="10.199999999999999"/>
    <row r="86" spans="4:8" s="2347" customFormat="1" ht="10.199999999999999"/>
    <row r="87" spans="4:8" s="2347" customFormat="1" ht="10.199999999999999"/>
    <row r="88" spans="4:8" s="2347" customFormat="1" ht="10.199999999999999"/>
    <row r="89" spans="4:8" s="2347" customFormat="1" ht="10.199999999999999"/>
    <row r="90" spans="4:8" s="2347" customFormat="1" ht="10.199999999999999"/>
    <row r="91" spans="4:8" s="2347" customFormat="1" ht="10.199999999999999"/>
    <row r="92" spans="4:8" s="2347" customFormat="1" ht="10.199999999999999"/>
  </sheetData>
  <sheetProtection algorithmName="SHA-512" hashValue="Qcumv6/bz1HbkPvYrEFtPve9a2zRuFpR1yC4v4JiDJf+/df2xiuZ191aVmT4aUwqtPqk6jm5QM+Q5ODe5//4Xw==" saltValue="DJzxNmRmcx0gzPPRGeA6g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7" zoomScaleNormal="100" workbookViewId="0">
      <selection activeCell="A7" sqref="A1:XFD1048576"/>
    </sheetView>
  </sheetViews>
  <sheetFormatPr defaultColWidth="8.88671875" defaultRowHeight="13.2"/>
  <cols>
    <col min="1" max="1" width="2.109375" style="26" customWidth="1"/>
    <col min="2" max="3" width="8.88671875" style="26"/>
    <col min="4" max="4" width="12.88671875" style="26" customWidth="1"/>
    <col min="5" max="5" width="9.44140625" style="26" customWidth="1"/>
    <col min="6" max="7" width="9.88671875" style="26" customWidth="1"/>
    <col min="8" max="8" width="8.109375" style="26" customWidth="1"/>
    <col min="9" max="13" width="10.88671875" style="26" customWidth="1"/>
    <col min="14" max="14" width="3" style="26" customWidth="1"/>
    <col min="15" max="17" width="8.88671875" style="26"/>
    <col min="18" max="18" width="8.88671875" style="26" customWidth="1"/>
    <col min="19" max="16384" width="8.88671875" style="26"/>
  </cols>
  <sheetData>
    <row r="1" spans="1:20" s="7" customFormat="1" ht="14.1" customHeight="1">
      <c r="A1" s="3147" t="str">
        <f>CONCATENATE("PART FIVE - UTILITY ALLOWANCES","  -  ",'Part I-Project Information'!$O$6," ",'Part I-Project Information'!$F$34,", ",'Part I-Project Information'!F38,", ",'Part I-Project Information'!J39," County")</f>
        <v>PART FIVE - UTILITY ALLOWANCES  -  2019-063 Haven at South Atlanta, Atlanta, Fulton County</v>
      </c>
      <c r="B1" s="3148"/>
      <c r="C1" s="3148"/>
      <c r="D1" s="3148"/>
      <c r="E1" s="3148"/>
      <c r="F1" s="3148"/>
      <c r="G1" s="3148"/>
      <c r="H1" s="3148"/>
      <c r="I1" s="3148"/>
      <c r="J1" s="3148"/>
      <c r="K1" s="3148"/>
      <c r="L1" s="3148"/>
      <c r="M1" s="3148"/>
      <c r="N1" s="9"/>
      <c r="O1" s="9"/>
      <c r="P1" s="9"/>
      <c r="Q1" s="9"/>
      <c r="R1" s="15"/>
      <c r="S1" s="15"/>
      <c r="T1" s="15"/>
    </row>
    <row r="2" spans="1:20" s="7" customFormat="1" ht="7.5" customHeight="1"/>
    <row r="3" spans="1:20" s="7" customFormat="1" ht="12.75" customHeight="1">
      <c r="B3" s="3150" t="str">
        <f>'Part I-Project Information'!$B$6</f>
        <v>May 2019</v>
      </c>
      <c r="C3" s="3150"/>
      <c r="D3" s="3150"/>
      <c r="E3" s="3150"/>
      <c r="F3" s="3" t="s">
        <v>4278</v>
      </c>
      <c r="I3" s="1745" t="str">
        <f>VLOOKUP('Part I-Project Information'!$J$39,'DCA Underwriting Assumptions'!$G$158:$H$317,2)</f>
        <v>Local PHA</v>
      </c>
    </row>
    <row r="4" spans="1:20" s="7" customFormat="1" ht="6" customHeight="1"/>
    <row r="5" spans="1:20">
      <c r="A5" s="252" t="s">
        <v>3689</v>
      </c>
    </row>
    <row r="6" spans="1:20" ht="6" customHeight="1">
      <c r="A6" s="7"/>
    </row>
    <row r="7" spans="1:20" s="7" customFormat="1">
      <c r="A7" s="12" t="s">
        <v>605</v>
      </c>
      <c r="B7" s="12" t="s">
        <v>2199</v>
      </c>
      <c r="F7" s="1" t="s">
        <v>2486</v>
      </c>
      <c r="G7" s="1"/>
      <c r="H7" s="1"/>
      <c r="I7" s="3149" t="s">
        <v>4880</v>
      </c>
      <c r="J7" s="3128"/>
      <c r="K7" s="3128"/>
      <c r="L7" s="3128"/>
      <c r="M7" s="3129"/>
    </row>
    <row r="8" spans="1:20" s="7" customFormat="1" ht="13.35" customHeight="1">
      <c r="A8" s="12"/>
      <c r="F8" s="1" t="s">
        <v>625</v>
      </c>
      <c r="G8" s="1"/>
      <c r="H8" s="32"/>
      <c r="I8" s="3140">
        <v>43282</v>
      </c>
      <c r="J8" s="3141"/>
      <c r="K8" s="5" t="s">
        <v>532</v>
      </c>
      <c r="L8" s="3142" t="s">
        <v>4881</v>
      </c>
      <c r="M8" s="3143"/>
    </row>
    <row r="9" spans="1:20" s="7" customFormat="1" ht="4.5" customHeight="1">
      <c r="A9" s="12"/>
    </row>
    <row r="10" spans="1:20" s="12" customFormat="1">
      <c r="B10" s="246"/>
      <c r="C10" s="246"/>
      <c r="D10" s="246"/>
      <c r="E10" s="246"/>
      <c r="F10" s="3136" t="s">
        <v>599</v>
      </c>
      <c r="G10" s="3136"/>
      <c r="I10" s="3137" t="s">
        <v>198</v>
      </c>
      <c r="J10" s="3137"/>
      <c r="K10" s="3137"/>
      <c r="L10" s="3137"/>
      <c r="M10" s="3137"/>
    </row>
    <row r="11" spans="1:20" s="12" customFormat="1">
      <c r="B11" s="246" t="s">
        <v>786</v>
      </c>
      <c r="D11" s="246" t="s">
        <v>1580</v>
      </c>
      <c r="F11" s="1743" t="s">
        <v>631</v>
      </c>
      <c r="G11" s="1743" t="s">
        <v>1825</v>
      </c>
      <c r="I11" s="247" t="s">
        <v>558</v>
      </c>
      <c r="J11" s="248">
        <v>1</v>
      </c>
      <c r="K11" s="248">
        <v>2</v>
      </c>
      <c r="L11" s="248">
        <v>3</v>
      </c>
      <c r="M11" s="248">
        <v>4</v>
      </c>
    </row>
    <row r="12" spans="1:20" s="7" customFormat="1" ht="12" customHeight="1">
      <c r="B12" s="1690" t="s">
        <v>1827</v>
      </c>
      <c r="C12" s="1691"/>
      <c r="D12" s="3138" t="s">
        <v>4882</v>
      </c>
      <c r="E12" s="3139"/>
      <c r="F12" s="2349" t="s">
        <v>437</v>
      </c>
      <c r="G12" s="2349"/>
      <c r="H12" s="1036"/>
      <c r="I12" s="2350"/>
      <c r="J12" s="2350">
        <v>7</v>
      </c>
      <c r="K12" s="2350">
        <v>9</v>
      </c>
      <c r="L12" s="2350">
        <v>11</v>
      </c>
      <c r="M12" s="2350"/>
      <c r="O12" s="3124" t="s">
        <v>3704</v>
      </c>
      <c r="P12" s="3124"/>
    </row>
    <row r="13" spans="1:20" s="7" customFormat="1" ht="12" customHeight="1">
      <c r="B13" s="1692" t="s">
        <v>1578</v>
      </c>
      <c r="C13" s="1693"/>
      <c r="D13" s="3125" t="s">
        <v>1577</v>
      </c>
      <c r="E13" s="3126"/>
      <c r="F13" s="2351" t="s">
        <v>437</v>
      </c>
      <c r="G13" s="2351"/>
      <c r="H13" s="1035"/>
      <c r="I13" s="2352"/>
      <c r="J13" s="2352">
        <v>9</v>
      </c>
      <c r="K13" s="2352">
        <v>11</v>
      </c>
      <c r="L13" s="2353">
        <v>14</v>
      </c>
      <c r="M13" s="2353"/>
      <c r="O13" s="3124"/>
      <c r="P13" s="3124"/>
    </row>
    <row r="14" spans="1:20" s="7" customFormat="1" ht="12" customHeight="1">
      <c r="B14" s="1694" t="s">
        <v>1579</v>
      </c>
      <c r="C14" s="1695"/>
      <c r="D14" s="3125" t="s">
        <v>1577</v>
      </c>
      <c r="E14" s="3126"/>
      <c r="F14" s="2351" t="s">
        <v>437</v>
      </c>
      <c r="G14" s="2351"/>
      <c r="H14" s="249"/>
      <c r="I14" s="2352"/>
      <c r="J14" s="2352">
        <v>18</v>
      </c>
      <c r="K14" s="2352">
        <v>25</v>
      </c>
      <c r="L14" s="2353">
        <v>32</v>
      </c>
      <c r="M14" s="2353"/>
      <c r="O14" s="3124"/>
      <c r="P14" s="3124"/>
    </row>
    <row r="15" spans="1:20" s="7" customFormat="1" ht="12" customHeight="1">
      <c r="B15" s="1696" t="s">
        <v>463</v>
      </c>
      <c r="C15" s="1697"/>
      <c r="D15" s="1696" t="s">
        <v>1577</v>
      </c>
      <c r="E15" s="250"/>
      <c r="F15" s="2351" t="s">
        <v>437</v>
      </c>
      <c r="G15" s="2351"/>
      <c r="H15" s="1034"/>
      <c r="I15" s="2352"/>
      <c r="J15" s="2352">
        <v>9</v>
      </c>
      <c r="K15" s="2352">
        <v>16</v>
      </c>
      <c r="L15" s="2353">
        <v>22</v>
      </c>
      <c r="M15" s="2353"/>
      <c r="O15" s="3124"/>
      <c r="P15" s="3124"/>
    </row>
    <row r="16" spans="1:20" s="7" customFormat="1" ht="12" customHeight="1">
      <c r="B16" s="1698" t="s">
        <v>3686</v>
      </c>
      <c r="C16" s="1693"/>
      <c r="D16" s="1692" t="s">
        <v>1577</v>
      </c>
      <c r="E16" s="1033"/>
      <c r="F16" s="2351"/>
      <c r="G16" s="2351" t="s">
        <v>437</v>
      </c>
      <c r="H16" s="1035"/>
      <c r="I16" s="2352"/>
      <c r="J16" s="2352"/>
      <c r="K16" s="2352"/>
      <c r="L16" s="2353"/>
      <c r="M16" s="2353"/>
      <c r="O16" s="3124"/>
      <c r="P16" s="3124"/>
    </row>
    <row r="17" spans="1:19" s="7" customFormat="1" ht="12" customHeight="1">
      <c r="B17" s="1698" t="s">
        <v>3687</v>
      </c>
      <c r="C17" s="1693"/>
      <c r="D17" s="1692" t="s">
        <v>1577</v>
      </c>
      <c r="E17" s="1033"/>
      <c r="F17" s="2351"/>
      <c r="G17" s="2351" t="s">
        <v>437</v>
      </c>
      <c r="H17" s="1035"/>
      <c r="I17" s="2352"/>
      <c r="J17" s="2352"/>
      <c r="K17" s="2352"/>
      <c r="L17" s="2353"/>
      <c r="M17" s="2353"/>
      <c r="O17" s="3124"/>
      <c r="P17" s="3124"/>
    </row>
    <row r="18" spans="1:19" s="7" customFormat="1" ht="12" customHeight="1">
      <c r="B18" s="1699" t="s">
        <v>3688</v>
      </c>
      <c r="C18" s="1695"/>
      <c r="D18" s="1694" t="s">
        <v>1577</v>
      </c>
      <c r="E18" s="1033"/>
      <c r="F18" s="2351" t="s">
        <v>437</v>
      </c>
      <c r="G18" s="2351"/>
      <c r="H18" s="249"/>
      <c r="I18" s="2352"/>
      <c r="J18" s="2352">
        <v>39</v>
      </c>
      <c r="K18" s="2352">
        <v>48</v>
      </c>
      <c r="L18" s="2353">
        <v>57</v>
      </c>
      <c r="M18" s="2353"/>
      <c r="O18" s="3124"/>
      <c r="P18" s="3124"/>
    </row>
    <row r="19" spans="1:19" s="7" customFormat="1" ht="12" customHeight="1">
      <c r="B19" s="1696" t="s">
        <v>1355</v>
      </c>
      <c r="C19" s="1697"/>
      <c r="D19" s="1702" t="s">
        <v>3402</v>
      </c>
      <c r="E19" s="2354" t="s">
        <v>2933</v>
      </c>
      <c r="F19" s="2351" t="s">
        <v>437</v>
      </c>
      <c r="G19" s="2351"/>
      <c r="H19" s="1034"/>
      <c r="I19" s="2352"/>
      <c r="J19" s="2352">
        <f>22+53</f>
        <v>75</v>
      </c>
      <c r="K19" s="2352">
        <f>34+83</f>
        <v>117</v>
      </c>
      <c r="L19" s="2353">
        <f>47+117</f>
        <v>164</v>
      </c>
      <c r="M19" s="2353"/>
      <c r="O19" s="3124"/>
      <c r="P19" s="3124"/>
    </row>
    <row r="20" spans="1:19" s="7" customFormat="1" ht="12" customHeight="1">
      <c r="B20" s="1700" t="s">
        <v>1826</v>
      </c>
      <c r="C20" s="1701"/>
      <c r="D20" s="251"/>
      <c r="E20" s="223"/>
      <c r="F20" s="2351"/>
      <c r="G20" s="2351" t="s">
        <v>437</v>
      </c>
      <c r="H20" s="1035"/>
      <c r="I20" s="2352"/>
      <c r="J20" s="2352"/>
      <c r="K20" s="2352"/>
      <c r="L20" s="2353"/>
      <c r="M20" s="2353"/>
      <c r="O20" s="3124"/>
      <c r="P20" s="3124"/>
    </row>
    <row r="21" spans="1:19" s="7" customFormat="1" ht="12" customHeight="1">
      <c r="B21" s="1700" t="s">
        <v>730</v>
      </c>
      <c r="C21" s="3144"/>
      <c r="D21" s="3145"/>
      <c r="E21" s="3146"/>
      <c r="F21" s="2355"/>
      <c r="G21" s="2355"/>
      <c r="H21" s="1037"/>
      <c r="I21" s="2356"/>
      <c r="J21" s="2356"/>
      <c r="K21" s="2356"/>
      <c r="L21" s="2357"/>
      <c r="M21" s="2357"/>
      <c r="O21" s="3124"/>
      <c r="P21" s="3124"/>
    </row>
    <row r="22" spans="1:19" s="7" customFormat="1">
      <c r="B22" s="246" t="s">
        <v>1007</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157</v>
      </c>
      <c r="K22" s="150">
        <f>IF(SUM(K12:K21)=0,0,IF(OR($D12="&lt;&lt;Select Fuel &gt;&gt;",$D13="&lt;&lt;Select Fuel &gt;&gt;",$D14="&lt;&lt;Select Fuel &gt;&gt;"),"Select Fuel",IF($E19="&lt;Select&gt;","Submeter?",SUM(K12:K21))))</f>
        <v>226</v>
      </c>
      <c r="L22" s="150">
        <f>IF(SUM(L12:L21)=0,0,IF(OR($D12="&lt;&lt;Select Fuel &gt;&gt;",$D13="&lt;&lt;Select Fuel &gt;&gt;",$D14="&lt;&lt;Select Fuel &gt;&gt;"),"Select Fuel",IF($E19="&lt;Select&gt;","Submeter?",SUM(L12:L21))))</f>
        <v>300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729</v>
      </c>
      <c r="B24" s="12" t="s">
        <v>2200</v>
      </c>
      <c r="F24" s="1" t="s">
        <v>2486</v>
      </c>
      <c r="G24" s="1"/>
      <c r="H24" s="1"/>
      <c r="I24" s="3127"/>
      <c r="J24" s="3128"/>
      <c r="K24" s="3128"/>
      <c r="L24" s="3128"/>
      <c r="M24" s="3129"/>
    </row>
    <row r="25" spans="1:19" s="7" customFormat="1" ht="13.35" customHeight="1">
      <c r="A25" s="12"/>
      <c r="B25" s="12"/>
      <c r="F25" s="1" t="s">
        <v>625</v>
      </c>
      <c r="G25" s="1"/>
      <c r="H25" s="32"/>
      <c r="I25" s="3140"/>
      <c r="J25" s="3141"/>
      <c r="K25" s="5" t="s">
        <v>532</v>
      </c>
      <c r="L25" s="3142"/>
      <c r="M25" s="3143"/>
    </row>
    <row r="26" spans="1:19" s="7" customFormat="1" ht="4.5" customHeight="1">
      <c r="A26" s="12"/>
    </row>
    <row r="27" spans="1:19" s="12" customFormat="1">
      <c r="B27" s="246"/>
      <c r="C27" s="246"/>
      <c r="D27" s="246"/>
      <c r="E27" s="246"/>
      <c r="F27" s="3136" t="s">
        <v>599</v>
      </c>
      <c r="G27" s="3136"/>
      <c r="I27" s="3137" t="s">
        <v>198</v>
      </c>
      <c r="J27" s="3137"/>
      <c r="K27" s="3137"/>
      <c r="L27" s="3137"/>
      <c r="M27" s="3137"/>
    </row>
    <row r="28" spans="1:19" s="12" customFormat="1">
      <c r="B28" s="246" t="s">
        <v>786</v>
      </c>
      <c r="D28" s="246" t="s">
        <v>1580</v>
      </c>
      <c r="F28" s="1743" t="s">
        <v>631</v>
      </c>
      <c r="G28" s="1743" t="s">
        <v>1825</v>
      </c>
      <c r="I28" s="247" t="s">
        <v>558</v>
      </c>
      <c r="J28" s="248">
        <v>1</v>
      </c>
      <c r="K28" s="248">
        <v>2</v>
      </c>
      <c r="L28" s="248">
        <v>3</v>
      </c>
      <c r="M28" s="248">
        <v>4</v>
      </c>
    </row>
    <row r="29" spans="1:19" s="7" customFormat="1" ht="12" customHeight="1">
      <c r="B29" s="1690" t="s">
        <v>1827</v>
      </c>
      <c r="C29" s="1691"/>
      <c r="D29" s="3138" t="s">
        <v>1796</v>
      </c>
      <c r="E29" s="3139"/>
      <c r="F29" s="2349"/>
      <c r="G29" s="2349"/>
      <c r="H29" s="1036"/>
      <c r="I29" s="2350"/>
      <c r="J29" s="2350"/>
      <c r="K29" s="2350"/>
      <c r="L29" s="2350"/>
      <c r="M29" s="2350"/>
      <c r="O29" s="3124" t="s">
        <v>3704</v>
      </c>
      <c r="P29" s="3124"/>
    </row>
    <row r="30" spans="1:19" s="7" customFormat="1" ht="12" customHeight="1">
      <c r="B30" s="1692" t="s">
        <v>1578</v>
      </c>
      <c r="C30" s="1693"/>
      <c r="D30" s="3125" t="s">
        <v>1796</v>
      </c>
      <c r="E30" s="3126"/>
      <c r="F30" s="2351"/>
      <c r="G30" s="2351"/>
      <c r="H30" s="1035"/>
      <c r="I30" s="2352"/>
      <c r="J30" s="2352"/>
      <c r="K30" s="2352"/>
      <c r="L30" s="2353"/>
      <c r="M30" s="2353"/>
      <c r="O30" s="3124"/>
      <c r="P30" s="3124"/>
    </row>
    <row r="31" spans="1:19" s="7" customFormat="1" ht="12" customHeight="1">
      <c r="B31" s="1694" t="s">
        <v>1579</v>
      </c>
      <c r="C31" s="1695"/>
      <c r="D31" s="3125" t="s">
        <v>1796</v>
      </c>
      <c r="E31" s="3126"/>
      <c r="F31" s="2351"/>
      <c r="G31" s="2351"/>
      <c r="H31" s="249"/>
      <c r="I31" s="2352"/>
      <c r="J31" s="2352"/>
      <c r="K31" s="2352"/>
      <c r="L31" s="2353"/>
      <c r="M31" s="2353"/>
      <c r="O31" s="3124"/>
      <c r="P31" s="3124"/>
    </row>
    <row r="32" spans="1:19" s="7" customFormat="1" ht="12" customHeight="1">
      <c r="B32" s="1696" t="s">
        <v>463</v>
      </c>
      <c r="C32" s="1697"/>
      <c r="D32" s="1696" t="s">
        <v>1577</v>
      </c>
      <c r="E32" s="250"/>
      <c r="F32" s="2351"/>
      <c r="G32" s="2351"/>
      <c r="H32" s="1034"/>
      <c r="I32" s="2352"/>
      <c r="J32" s="2352"/>
      <c r="K32" s="2352"/>
      <c r="L32" s="2353"/>
      <c r="M32" s="2353"/>
      <c r="O32" s="3124"/>
      <c r="P32" s="3124"/>
    </row>
    <row r="33" spans="1:19" s="7" customFormat="1" ht="12" customHeight="1">
      <c r="B33" s="1698" t="s">
        <v>3686</v>
      </c>
      <c r="C33" s="1693"/>
      <c r="D33" s="1692" t="s">
        <v>1577</v>
      </c>
      <c r="E33" s="1033"/>
      <c r="F33" s="2351"/>
      <c r="G33" s="2351"/>
      <c r="H33" s="1035"/>
      <c r="I33" s="2352"/>
      <c r="J33" s="2352"/>
      <c r="K33" s="2352"/>
      <c r="L33" s="2353"/>
      <c r="M33" s="2353"/>
      <c r="O33" s="3124"/>
      <c r="P33" s="3124"/>
    </row>
    <row r="34" spans="1:19" s="7" customFormat="1" ht="12" customHeight="1">
      <c r="B34" s="1698" t="s">
        <v>3687</v>
      </c>
      <c r="C34" s="1693"/>
      <c r="D34" s="1692" t="s">
        <v>1577</v>
      </c>
      <c r="E34" s="1033"/>
      <c r="F34" s="2351"/>
      <c r="G34" s="2351"/>
      <c r="H34" s="1035"/>
      <c r="I34" s="2352"/>
      <c r="J34" s="2352"/>
      <c r="K34" s="2352"/>
      <c r="L34" s="2353"/>
      <c r="M34" s="2353"/>
      <c r="O34" s="3124"/>
      <c r="P34" s="3124"/>
    </row>
    <row r="35" spans="1:19" s="7" customFormat="1" ht="12" customHeight="1">
      <c r="B35" s="1699" t="s">
        <v>3688</v>
      </c>
      <c r="C35" s="1695"/>
      <c r="D35" s="1694" t="s">
        <v>1577</v>
      </c>
      <c r="E35" s="1033"/>
      <c r="F35" s="2351"/>
      <c r="G35" s="2351"/>
      <c r="H35" s="249"/>
      <c r="I35" s="2352"/>
      <c r="J35" s="2352"/>
      <c r="K35" s="2352"/>
      <c r="L35" s="2353"/>
      <c r="M35" s="2353"/>
      <c r="O35" s="3124"/>
      <c r="P35" s="3124"/>
    </row>
    <row r="36" spans="1:19" s="7" customFormat="1" ht="12" customHeight="1">
      <c r="B36" s="1696" t="s">
        <v>1355</v>
      </c>
      <c r="C36" s="1697"/>
      <c r="D36" s="1702" t="s">
        <v>3402</v>
      </c>
      <c r="E36" s="2354" t="s">
        <v>199</v>
      </c>
      <c r="F36" s="2351"/>
      <c r="G36" s="2351"/>
      <c r="H36" s="1034"/>
      <c r="I36" s="2352"/>
      <c r="J36" s="2352"/>
      <c r="K36" s="2352"/>
      <c r="L36" s="2353"/>
      <c r="M36" s="2353"/>
      <c r="O36" s="3124"/>
      <c r="P36" s="3124"/>
    </row>
    <row r="37" spans="1:19" s="7" customFormat="1" ht="12" customHeight="1">
      <c r="B37" s="1700" t="s">
        <v>1826</v>
      </c>
      <c r="C37" s="1701"/>
      <c r="D37" s="251"/>
      <c r="E37" s="223"/>
      <c r="F37" s="2351"/>
      <c r="G37" s="2351"/>
      <c r="H37" s="1035"/>
      <c r="I37" s="2352"/>
      <c r="J37" s="2352"/>
      <c r="K37" s="2352"/>
      <c r="L37" s="2353"/>
      <c r="M37" s="2353"/>
      <c r="O37" s="3124"/>
      <c r="P37" s="3124"/>
    </row>
    <row r="38" spans="1:19" s="7" customFormat="1" ht="12" customHeight="1">
      <c r="B38" s="1700" t="s">
        <v>730</v>
      </c>
      <c r="C38" s="3144"/>
      <c r="D38" s="3145"/>
      <c r="E38" s="3146"/>
      <c r="F38" s="2355"/>
      <c r="G38" s="2355"/>
      <c r="H38" s="1037"/>
      <c r="I38" s="2356"/>
      <c r="J38" s="2356"/>
      <c r="K38" s="2356"/>
      <c r="L38" s="2357"/>
      <c r="M38" s="2357"/>
      <c r="O38" s="3124"/>
      <c r="P38" s="3124"/>
    </row>
    <row r="39" spans="1:19" s="7" customFormat="1">
      <c r="B39" s="246" t="s">
        <v>1007</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3403</v>
      </c>
      <c r="D41" s="26"/>
      <c r="E41" s="26"/>
      <c r="F41" s="80"/>
      <c r="G41" s="80"/>
      <c r="I41" s="1743"/>
      <c r="J41" s="1743"/>
      <c r="K41" s="1743"/>
      <c r="L41" s="1743"/>
      <c r="M41" s="1743"/>
    </row>
    <row r="42" spans="1:19" s="7" customFormat="1" ht="12" customHeight="1">
      <c r="A42" s="12"/>
      <c r="B42" s="12" t="s">
        <v>562</v>
      </c>
      <c r="M42" s="26"/>
      <c r="N42" s="26"/>
      <c r="O42" s="26"/>
      <c r="P42" s="26"/>
      <c r="Q42" s="26"/>
      <c r="R42" s="26"/>
      <c r="S42" s="26"/>
    </row>
    <row r="43" spans="1:19" s="7" customFormat="1" ht="52.5" customHeight="1">
      <c r="B43" s="3130" t="s">
        <v>4883</v>
      </c>
      <c r="C43" s="3131"/>
      <c r="D43" s="3131"/>
      <c r="E43" s="3131"/>
      <c r="F43" s="3131"/>
      <c r="G43" s="3131"/>
      <c r="H43" s="3131"/>
      <c r="I43" s="3131"/>
      <c r="J43" s="3131"/>
      <c r="K43" s="3131"/>
      <c r="L43" s="3131"/>
      <c r="M43" s="3132"/>
      <c r="N43" s="26"/>
      <c r="O43" s="2538" t="s">
        <v>2655</v>
      </c>
      <c r="P43" s="2538"/>
      <c r="Q43" s="2538"/>
      <c r="R43" s="2538"/>
      <c r="S43" s="2538"/>
    </row>
    <row r="44" spans="1:19" s="7" customFormat="1" ht="3" customHeight="1">
      <c r="M44" s="26"/>
      <c r="N44" s="26"/>
      <c r="O44" s="2538"/>
      <c r="P44" s="2538"/>
      <c r="Q44" s="2538"/>
      <c r="R44" s="2538"/>
      <c r="S44" s="2538"/>
    </row>
    <row r="45" spans="1:19" s="7" customFormat="1" ht="12" customHeight="1">
      <c r="A45" s="12"/>
      <c r="B45" s="12" t="s">
        <v>1820</v>
      </c>
      <c r="M45" s="26"/>
      <c r="N45" s="26"/>
      <c r="O45" s="2538"/>
      <c r="P45" s="2538"/>
      <c r="Q45" s="2538"/>
      <c r="R45" s="2538"/>
      <c r="S45" s="2538"/>
    </row>
    <row r="46" spans="1:19" s="7" customFormat="1" ht="24.75" customHeight="1">
      <c r="B46" s="3133"/>
      <c r="C46" s="3134"/>
      <c r="D46" s="3134"/>
      <c r="E46" s="3134"/>
      <c r="F46" s="3134"/>
      <c r="G46" s="3134"/>
      <c r="H46" s="3134"/>
      <c r="I46" s="3134"/>
      <c r="J46" s="3134"/>
      <c r="K46" s="3134"/>
      <c r="L46" s="3134"/>
      <c r="M46" s="3135"/>
      <c r="N46" s="26"/>
      <c r="O46" s="2538"/>
      <c r="P46" s="2538"/>
      <c r="Q46" s="2538"/>
      <c r="R46" s="2538"/>
      <c r="S46" s="2538"/>
    </row>
  </sheetData>
  <sheetProtection algorithmName="SHA-512" hashValue="w5D5oBJT9wQnAhJ6lkmnViXjgouqDI/ot6TjYrM3psbj6G8DxNGUj7uVzpD8mJl4ammaJXZSiEFPD84Ukj0Xsw==" saltValue="ObZhYCG5K6p0dWObbW2coQ=="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69" priority="8" operator="equal">
      <formula>"""&lt;&lt;Select Fuel &gt;&gt;"""</formula>
    </cfRule>
  </conditionalFormatting>
  <conditionalFormatting sqref="I22:M22">
    <cfRule type="cellIs" dxfId="168" priority="6" operator="equal">
      <formula>"Select Fuel"</formula>
    </cfRule>
    <cfRule type="cellIs" dxfId="167" priority="7" operator="equal">
      <formula>"&lt;&lt;Select Fuel &gt;&gt;"</formula>
    </cfRule>
  </conditionalFormatting>
  <conditionalFormatting sqref="J22:M22">
    <cfRule type="cellIs" dxfId="166" priority="5" operator="equal">
      <formula>"Select Fuel"</formula>
    </cfRule>
  </conditionalFormatting>
  <conditionalFormatting sqref="I39:M39">
    <cfRule type="cellIs" dxfId="165" priority="4" operator="equal">
      <formula>"""&lt;&lt;Select Fuel &gt;&gt;"""</formula>
    </cfRule>
  </conditionalFormatting>
  <conditionalFormatting sqref="I39:M39">
    <cfRule type="cellIs" dxfId="164" priority="2" operator="equal">
      <formula>"Select Fuel"</formula>
    </cfRule>
    <cfRule type="cellIs" dxfId="163" priority="3" operator="equal">
      <formula>"&lt;&lt;Select Fuel &gt;&gt;"</formula>
    </cfRule>
  </conditionalFormatting>
  <conditionalFormatting sqref="J39:M39">
    <cfRule type="cellIs" dxfId="16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39" zoomScaleNormal="100" workbookViewId="0">
      <selection activeCell="A39" sqref="A1:XFD1048576"/>
    </sheetView>
  </sheetViews>
  <sheetFormatPr defaultColWidth="9.109375" defaultRowHeight="13.2"/>
  <cols>
    <col min="1" max="1" width="2.88671875" style="7" customWidth="1"/>
    <col min="2" max="2" width="10" style="7" customWidth="1"/>
    <col min="3" max="3" width="7.5546875" style="7" customWidth="1"/>
    <col min="4" max="4" width="6.44140625" style="7" customWidth="1"/>
    <col min="5" max="5" width="6.88671875" style="7" customWidth="1"/>
    <col min="6" max="6" width="8.109375" style="7" customWidth="1"/>
    <col min="7" max="8" width="9.88671875" style="7" customWidth="1"/>
    <col min="9" max="9" width="11.88671875" style="7" customWidth="1"/>
    <col min="10" max="10" width="10.109375" style="7" customWidth="1"/>
    <col min="11" max="11" width="9.88671875" style="7" customWidth="1"/>
    <col min="12" max="13" width="11" style="7" customWidth="1"/>
    <col min="14" max="14" width="13" style="7" customWidth="1"/>
    <col min="15" max="15" width="15.44140625" style="7" customWidth="1"/>
    <col min="16" max="16" width="12.44140625" style="82" customWidth="1"/>
    <col min="17" max="17" width="9.88671875" style="82" customWidth="1"/>
    <col min="18" max="20" width="7.88671875" style="82" customWidth="1"/>
    <col min="21" max="21" width="59.109375" style="82" customWidth="1"/>
    <col min="22" max="22" width="47.88671875" style="82" customWidth="1"/>
    <col min="23" max="136" width="9.109375" style="448" customWidth="1"/>
    <col min="137" max="137" width="12.5546875" style="448" customWidth="1"/>
    <col min="138" max="138" width="8.109375" style="448" customWidth="1"/>
    <col min="139" max="142" width="7.109375" style="448" customWidth="1"/>
    <col min="143" max="143" width="8.109375" style="448" customWidth="1"/>
    <col min="144" max="147" width="7.109375" style="448" customWidth="1"/>
    <col min="148" max="157" width="9.109375" style="448" customWidth="1"/>
    <col min="158" max="158" width="8.109375" style="448" customWidth="1"/>
    <col min="159" max="162" width="7.109375" style="448" customWidth="1"/>
    <col min="163" max="167" width="9.109375" style="448" customWidth="1"/>
    <col min="168" max="168" width="8.109375" style="448" customWidth="1"/>
    <col min="169" max="172" width="7.109375" style="448" customWidth="1"/>
    <col min="173" max="252" width="9.109375" style="448" customWidth="1"/>
    <col min="253" max="257" width="11.109375" style="448" customWidth="1"/>
    <col min="258" max="272" width="9.109375" style="448" customWidth="1"/>
    <col min="273" max="273" width="10.109375" style="448" customWidth="1"/>
    <col min="274" max="277" width="10" style="448" customWidth="1"/>
    <col min="278" max="281" width="9.109375" style="448" customWidth="1"/>
    <col min="282" max="282" width="9.109375" style="453" customWidth="1"/>
    <col min="283" max="286" width="9.109375" style="448" customWidth="1"/>
    <col min="287" max="297" width="9.109375" style="453" customWidth="1"/>
    <col min="298" max="307" width="11.5546875" style="453" customWidth="1"/>
    <col min="308" max="318" width="9.109375" style="453" customWidth="1"/>
    <col min="319" max="324" width="9.109375" style="448" customWidth="1"/>
    <col min="325" max="325" width="9.109375" style="456" customWidth="1"/>
    <col min="326" max="340" width="9.109375" style="448" customWidth="1"/>
    <col min="341" max="342" width="9.109375" style="456" customWidth="1"/>
    <col min="343" max="349" width="10.109375" style="448" customWidth="1"/>
    <col min="350" max="352" width="9.109375" style="448"/>
    <col min="353" max="353" width="10.44140625" style="448" customWidth="1"/>
    <col min="354" max="357" width="10.109375" style="448" customWidth="1"/>
    <col min="358" max="393" width="9.109375" style="448"/>
    <col min="394" max="492" width="9.109375" style="147"/>
    <col min="493" max="16384" width="9.109375" style="82"/>
  </cols>
  <sheetData>
    <row r="1" spans="1:492" s="90" customFormat="1" ht="14.1" customHeight="1">
      <c r="A1" s="2945" t="str">
        <f>CONCATENATE("PART SIX - PROJECTED REVENUES &amp; EXPENSES","  -  ",'Part I-Project Information'!$O$6," ",'Part I-Project Information'!$F$34,", ",'Part I-Project Information'!F38,", ",'Part I-Project Information'!J39," County")</f>
        <v>PART SIX - PROJECTED REVENUES &amp; EXPENSES  -  2019-063 Haven at South Atlanta, Atlanta, Fulton County</v>
      </c>
      <c r="B1" s="2946"/>
      <c r="C1" s="2946"/>
      <c r="D1" s="2946"/>
      <c r="E1" s="2946"/>
      <c r="F1" s="2946"/>
      <c r="G1" s="2946"/>
      <c r="H1" s="2946"/>
      <c r="I1" s="2946"/>
      <c r="J1" s="2946"/>
      <c r="K1" s="2946"/>
      <c r="L1" s="2946"/>
      <c r="M1" s="2946"/>
      <c r="N1" s="2946"/>
      <c r="O1" s="2946"/>
      <c r="P1" s="2947"/>
      <c r="U1" s="3227" t="str">
        <f>A1</f>
        <v>PART SIX - PROJECTED REVENUES &amp; EXPENSES  -  2019-063 Haven at South Atlanta, Atlanta, Fulton County</v>
      </c>
      <c r="V1" s="3227"/>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1705"/>
      <c r="HX1" s="1705"/>
      <c r="HY1" s="1705"/>
      <c r="HZ1" s="1705"/>
      <c r="IA1" s="1705"/>
      <c r="IB1" s="1705"/>
      <c r="IC1" s="1705"/>
      <c r="ID1" s="1705"/>
      <c r="IE1" s="1705"/>
      <c r="IF1" s="1705"/>
      <c r="IG1" s="1705"/>
      <c r="IH1" s="1705"/>
      <c r="II1" s="1705"/>
      <c r="IJ1" s="1705"/>
      <c r="IK1" s="1705"/>
      <c r="IL1" s="1705"/>
      <c r="IM1" s="1705"/>
      <c r="IN1" s="1705"/>
      <c r="IO1" s="1705"/>
      <c r="IP1" s="1705"/>
      <c r="IQ1" s="1705"/>
      <c r="IR1" s="1705"/>
      <c r="IS1" s="1705"/>
      <c r="IT1" s="1705"/>
      <c r="IU1" s="1705"/>
      <c r="IV1" s="1705"/>
      <c r="IW1" s="1705"/>
      <c r="IX1" s="1705"/>
      <c r="IY1" s="1705"/>
      <c r="IZ1" s="1705"/>
      <c r="JA1" s="1705"/>
      <c r="JB1" s="1705"/>
      <c r="JC1" s="1705"/>
      <c r="JD1" s="1705"/>
      <c r="JE1" s="1705"/>
      <c r="JF1" s="1705"/>
      <c r="JG1" s="1705"/>
      <c r="JH1" s="1705"/>
      <c r="JI1" s="1705"/>
      <c r="JJ1" s="1705"/>
      <c r="JK1" s="1705"/>
      <c r="JL1" s="1705"/>
      <c r="JM1" s="1705"/>
      <c r="JN1" s="1705"/>
      <c r="JO1" s="1705"/>
      <c r="JP1" s="1705"/>
      <c r="JQ1" s="1705"/>
      <c r="JR1" s="1705"/>
      <c r="JS1" s="1705"/>
      <c r="JT1" s="1705"/>
      <c r="JU1" s="1705"/>
      <c r="JV1" s="1705"/>
      <c r="JW1" s="1705"/>
      <c r="JX1" s="1705"/>
      <c r="JY1" s="1705"/>
      <c r="JZ1" s="1705"/>
      <c r="KA1" s="1705"/>
      <c r="KB1" s="1705"/>
      <c r="KC1" s="1705"/>
      <c r="KD1" s="1705"/>
      <c r="KE1" s="1705"/>
      <c r="KF1" s="1705"/>
      <c r="KG1" s="1705"/>
      <c r="KH1" s="1705"/>
      <c r="KI1" s="1705"/>
      <c r="KJ1" s="1705"/>
      <c r="KK1" s="1705"/>
      <c r="KL1" s="1705"/>
      <c r="KM1" s="1705"/>
      <c r="KN1" s="1705"/>
      <c r="KO1" s="450"/>
      <c r="KP1" s="450"/>
      <c r="KQ1" s="1705"/>
      <c r="KR1" s="1705"/>
      <c r="KS1" s="1705"/>
      <c r="KT1" s="450"/>
      <c r="KU1" s="450"/>
      <c r="KV1" s="450"/>
      <c r="KW1" s="450"/>
      <c r="KX1" s="1706"/>
      <c r="KY1" s="450"/>
      <c r="KZ1" s="450"/>
      <c r="LA1" s="450"/>
      <c r="LB1" s="450"/>
      <c r="LC1" s="1706"/>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605</v>
      </c>
      <c r="B3" s="3" t="s">
        <v>2337</v>
      </c>
      <c r="C3" s="1"/>
      <c r="D3" s="924" t="s">
        <v>3498</v>
      </c>
      <c r="F3" s="1"/>
      <c r="G3" s="121"/>
      <c r="H3" s="121"/>
      <c r="I3" s="121"/>
      <c r="J3" s="121"/>
      <c r="K3" s="121"/>
      <c r="L3" s="121"/>
      <c r="S3" s="290"/>
      <c r="T3" s="290"/>
      <c r="U3" s="3" t="str">
        <f>B3</f>
        <v>RENT SCHEDULE</v>
      </c>
      <c r="W3" s="1707"/>
      <c r="X3" s="1707"/>
      <c r="Y3" s="1707"/>
      <c r="Z3" s="1707"/>
      <c r="AA3" s="1707"/>
      <c r="AB3" s="1707"/>
      <c r="AC3" s="1707"/>
      <c r="AD3" s="1707"/>
      <c r="AE3" s="1707"/>
      <c r="AF3" s="1707"/>
      <c r="AG3" s="1707"/>
      <c r="AH3" s="1707"/>
      <c r="AI3" s="1707"/>
      <c r="AJ3" s="1707"/>
      <c r="AK3" s="1707"/>
      <c r="AL3" s="1707"/>
      <c r="AM3" s="1707"/>
      <c r="AN3" s="1707"/>
      <c r="AO3" s="1707"/>
      <c r="AP3" s="1707"/>
      <c r="AQ3" s="1707"/>
      <c r="AR3" s="1707"/>
      <c r="AS3" s="1707"/>
      <c r="AT3" s="1707"/>
      <c r="AU3" s="1707"/>
      <c r="AV3" s="1707"/>
      <c r="AW3" s="1707"/>
      <c r="AX3" s="1707"/>
      <c r="AY3" s="1707"/>
      <c r="AZ3" s="1707"/>
      <c r="BA3" s="1707"/>
      <c r="BB3" s="1707"/>
      <c r="BC3" s="1707"/>
      <c r="BD3" s="1707"/>
      <c r="BE3" s="1707"/>
      <c r="BF3" s="1707"/>
      <c r="BG3" s="1707"/>
      <c r="BH3" s="1707"/>
      <c r="BI3" s="1707"/>
      <c r="BJ3" s="1707"/>
      <c r="BK3" s="1707"/>
      <c r="BL3" s="1707"/>
      <c r="BM3" s="1707"/>
      <c r="BN3" s="1707"/>
      <c r="BO3" s="1707"/>
      <c r="BP3" s="1707"/>
      <c r="BQ3" s="1707"/>
      <c r="BR3" s="1707"/>
      <c r="BS3" s="1707"/>
      <c r="BT3" s="1707"/>
      <c r="BU3" s="1707"/>
      <c r="BV3" s="1707"/>
      <c r="BW3" s="1707"/>
      <c r="BX3" s="1707"/>
      <c r="BY3" s="1707"/>
      <c r="BZ3" s="1707"/>
      <c r="CA3" s="1707"/>
      <c r="CB3" s="1707"/>
      <c r="CC3" s="1707"/>
      <c r="CD3" s="1707"/>
      <c r="CE3" s="1707"/>
      <c r="CF3" s="1707"/>
      <c r="CG3" s="1707"/>
      <c r="CH3" s="1707"/>
      <c r="CI3" s="1707"/>
      <c r="CJ3" s="1707"/>
      <c r="CK3" s="1707"/>
      <c r="CL3" s="1707"/>
      <c r="CM3" s="1707"/>
      <c r="CN3" s="1707"/>
      <c r="CO3" s="1707"/>
      <c r="CP3" s="1707"/>
      <c r="CQ3" s="1707"/>
      <c r="CR3" s="1707"/>
      <c r="CS3" s="1707"/>
      <c r="CT3" s="1707"/>
      <c r="CU3" s="1707"/>
      <c r="CV3" s="1707"/>
      <c r="CW3" s="1707"/>
      <c r="CX3" s="1707"/>
      <c r="CY3" s="1707"/>
      <c r="CZ3" s="1707"/>
      <c r="DA3" s="1707"/>
      <c r="DB3" s="1707"/>
      <c r="DC3" s="1707"/>
      <c r="DD3" s="1707"/>
      <c r="DE3" s="1707"/>
      <c r="DF3" s="1707"/>
      <c r="DG3" s="1707"/>
      <c r="DH3" s="1707"/>
      <c r="DI3" s="1707"/>
      <c r="DJ3" s="1707"/>
      <c r="DK3" s="1707"/>
      <c r="DL3" s="1707"/>
      <c r="DM3" s="1707"/>
      <c r="DN3" s="1707"/>
      <c r="DO3" s="1707"/>
      <c r="DP3" s="1707"/>
      <c r="DQ3" s="1707"/>
      <c r="DR3" s="1707"/>
      <c r="DS3" s="1707"/>
      <c r="DT3" s="1707"/>
      <c r="DU3" s="1707"/>
      <c r="DV3" s="1707"/>
      <c r="DW3" s="1707"/>
      <c r="DX3" s="1707"/>
      <c r="DY3" s="1707"/>
      <c r="DZ3" s="1707"/>
      <c r="EA3" s="1707"/>
      <c r="EB3" s="1707"/>
      <c r="EC3" s="1707"/>
      <c r="ED3" s="1707"/>
      <c r="EE3" s="1707"/>
      <c r="EF3" s="1707"/>
      <c r="EG3" s="1707"/>
      <c r="EH3" s="1707"/>
      <c r="EI3" s="1707"/>
      <c r="EJ3" s="1707"/>
      <c r="EK3" s="1707"/>
      <c r="EL3" s="1707"/>
      <c r="EM3" s="1707"/>
      <c r="EN3" s="1707"/>
      <c r="EO3" s="1707"/>
      <c r="EP3" s="1707"/>
      <c r="EQ3" s="1707"/>
      <c r="ER3" s="1707"/>
      <c r="ES3" s="1707"/>
      <c r="ET3" s="1707"/>
      <c r="EU3" s="1707"/>
      <c r="EV3" s="1707"/>
      <c r="EW3" s="1707"/>
      <c r="EX3" s="1707"/>
      <c r="EY3" s="1707"/>
      <c r="EZ3" s="1707"/>
      <c r="FA3" s="1707"/>
      <c r="FB3" s="1707"/>
      <c r="FC3" s="1707"/>
      <c r="FD3" s="1707"/>
      <c r="FE3" s="1707"/>
      <c r="FF3" s="1707"/>
      <c r="FG3" s="1707"/>
      <c r="FH3" s="1707"/>
      <c r="FI3" s="1707"/>
      <c r="FJ3" s="1707"/>
      <c r="FK3" s="1707"/>
      <c r="FL3" s="1707"/>
      <c r="FM3" s="1707"/>
      <c r="FN3" s="1707"/>
      <c r="FO3" s="1707"/>
      <c r="FP3" s="1707"/>
      <c r="FQ3" s="1707"/>
      <c r="FR3" s="1707"/>
      <c r="FS3" s="1707"/>
      <c r="FT3" s="1707"/>
      <c r="FU3" s="1707"/>
      <c r="FV3" s="1707"/>
      <c r="FW3" s="1707"/>
      <c r="FX3" s="1707"/>
      <c r="FY3" s="1707"/>
      <c r="FZ3" s="1707"/>
      <c r="GA3" s="1707"/>
      <c r="GB3" s="1707"/>
      <c r="GC3" s="1707"/>
      <c r="GD3" s="1707"/>
      <c r="GE3" s="1707"/>
      <c r="GF3" s="1707"/>
      <c r="GG3" s="1707"/>
      <c r="GH3" s="1707"/>
      <c r="GI3" s="1707"/>
      <c r="GJ3" s="1707"/>
      <c r="GK3" s="1707"/>
      <c r="GL3" s="1707"/>
      <c r="GM3" s="1707"/>
      <c r="GN3" s="1707"/>
      <c r="GO3" s="1707"/>
      <c r="GP3" s="1707"/>
      <c r="GQ3" s="1707"/>
      <c r="GR3" s="1707"/>
      <c r="GS3" s="1707"/>
      <c r="GT3" s="1707"/>
      <c r="GU3" s="1707"/>
      <c r="GV3" s="1707"/>
      <c r="GW3" s="1707"/>
      <c r="GX3" s="1707"/>
      <c r="GY3" s="1707"/>
      <c r="GZ3" s="1707"/>
      <c r="HA3" s="1707"/>
      <c r="HB3" s="1707"/>
      <c r="HC3" s="1707"/>
      <c r="HD3" s="1707"/>
      <c r="HE3" s="1707"/>
      <c r="HF3" s="1707"/>
      <c r="HG3" s="1707"/>
      <c r="HH3" s="1707"/>
      <c r="HI3" s="1707"/>
      <c r="HJ3" s="1707"/>
      <c r="HK3" s="1707"/>
      <c r="HL3" s="1707"/>
      <c r="HM3" s="1707"/>
      <c r="HN3" s="1707"/>
      <c r="HO3" s="1707"/>
      <c r="HP3" s="1707"/>
      <c r="HQ3" s="1707"/>
      <c r="HR3" s="1707"/>
      <c r="HS3" s="1707"/>
      <c r="HT3" s="1707"/>
      <c r="HU3" s="1707"/>
      <c r="HV3" s="1707"/>
      <c r="HW3" s="1707"/>
      <c r="HX3" s="1707"/>
      <c r="HY3" s="1708"/>
      <c r="HZ3" s="1708"/>
      <c r="IA3" s="1708"/>
      <c r="IB3" s="1708"/>
      <c r="IC3" s="1708"/>
      <c r="ID3" s="452" t="s">
        <v>481</v>
      </c>
      <c r="IE3" s="452" t="s">
        <v>2408</v>
      </c>
      <c r="IF3" s="452" t="s">
        <v>2409</v>
      </c>
      <c r="IG3" s="452" t="s">
        <v>2410</v>
      </c>
      <c r="IH3" s="452" t="s">
        <v>2411</v>
      </c>
      <c r="II3" s="452" t="s">
        <v>481</v>
      </c>
      <c r="IJ3" s="452" t="s">
        <v>2408</v>
      </c>
      <c r="IK3" s="452" t="s">
        <v>2409</v>
      </c>
      <c r="IL3" s="452" t="s">
        <v>2410</v>
      </c>
      <c r="IM3" s="452" t="s">
        <v>2411</v>
      </c>
      <c r="IN3" s="1708"/>
      <c r="IO3" s="1708"/>
      <c r="IP3" s="1708"/>
      <c r="IQ3" s="1708"/>
      <c r="IR3" s="1708"/>
      <c r="IS3" s="1708"/>
      <c r="IT3" s="1708"/>
      <c r="IU3" s="1708"/>
      <c r="IV3" s="1708"/>
      <c r="IW3" s="1708"/>
      <c r="IX3" s="452" t="s">
        <v>481</v>
      </c>
      <c r="IY3" s="452" t="s">
        <v>2408</v>
      </c>
      <c r="IZ3" s="452" t="s">
        <v>2409</v>
      </c>
      <c r="JA3" s="452" t="s">
        <v>2410</v>
      </c>
      <c r="JB3" s="452" t="s">
        <v>2411</v>
      </c>
      <c r="JC3" s="452" t="s">
        <v>481</v>
      </c>
      <c r="JD3" s="452" t="s">
        <v>2408</v>
      </c>
      <c r="JE3" s="452" t="s">
        <v>2409</v>
      </c>
      <c r="JF3" s="452" t="s">
        <v>2410</v>
      </c>
      <c r="JG3" s="452" t="s">
        <v>2411</v>
      </c>
      <c r="JH3" s="452" t="s">
        <v>481</v>
      </c>
      <c r="JI3" s="452" t="s">
        <v>2408</v>
      </c>
      <c r="JJ3" s="452" t="s">
        <v>2409</v>
      </c>
      <c r="JK3" s="452" t="s">
        <v>2410</v>
      </c>
      <c r="JL3" s="452" t="s">
        <v>2411</v>
      </c>
      <c r="JM3" s="452" t="s">
        <v>481</v>
      </c>
      <c r="JN3" s="452" t="s">
        <v>2408</v>
      </c>
      <c r="JO3" s="452" t="s">
        <v>2409</v>
      </c>
      <c r="JP3" s="452" t="s">
        <v>2410</v>
      </c>
      <c r="JQ3" s="452" t="s">
        <v>2411</v>
      </c>
      <c r="JR3" s="452" t="s">
        <v>481</v>
      </c>
      <c r="JS3" s="452" t="s">
        <v>2408</v>
      </c>
      <c r="JT3" s="452" t="s">
        <v>2409</v>
      </c>
      <c r="JU3" s="452" t="s">
        <v>2410</v>
      </c>
      <c r="JV3" s="452" t="s">
        <v>2411</v>
      </c>
      <c r="JW3" s="452" t="s">
        <v>481</v>
      </c>
      <c r="JX3" s="452" t="s">
        <v>2408</v>
      </c>
      <c r="JY3" s="452" t="s">
        <v>2409</v>
      </c>
      <c r="JZ3" s="452" t="s">
        <v>2410</v>
      </c>
      <c r="KA3" s="452" t="s">
        <v>2411</v>
      </c>
      <c r="KB3" s="452" t="s">
        <v>481</v>
      </c>
      <c r="KC3" s="452" t="s">
        <v>2408</v>
      </c>
      <c r="KD3" s="452" t="s">
        <v>2409</v>
      </c>
      <c r="KE3" s="452" t="s">
        <v>2410</v>
      </c>
      <c r="KF3" s="452" t="s">
        <v>2411</v>
      </c>
      <c r="KG3" s="452" t="s">
        <v>481</v>
      </c>
      <c r="KH3" s="452" t="s">
        <v>2408</v>
      </c>
      <c r="KI3" s="452" t="s">
        <v>2409</v>
      </c>
      <c r="KJ3" s="452" t="s">
        <v>2410</v>
      </c>
      <c r="KK3" s="452" t="s">
        <v>2411</v>
      </c>
      <c r="KL3" s="452" t="s">
        <v>481</v>
      </c>
      <c r="KM3" s="452" t="s">
        <v>2408</v>
      </c>
      <c r="KN3" s="452" t="s">
        <v>2409</v>
      </c>
      <c r="KO3" s="452" t="s">
        <v>2410</v>
      </c>
      <c r="KP3" s="452" t="s">
        <v>2411</v>
      </c>
      <c r="KQ3" s="452" t="s">
        <v>481</v>
      </c>
      <c r="KR3" s="452" t="s">
        <v>2408</v>
      </c>
      <c r="KS3" s="452" t="s">
        <v>2409</v>
      </c>
      <c r="KT3" s="452" t="s">
        <v>2410</v>
      </c>
      <c r="KU3" s="452" t="s">
        <v>2411</v>
      </c>
      <c r="KV3" s="452" t="s">
        <v>481</v>
      </c>
      <c r="KW3" s="452" t="s">
        <v>2408</v>
      </c>
      <c r="KX3" s="452" t="s">
        <v>2409</v>
      </c>
      <c r="KY3" s="452" t="s">
        <v>2410</v>
      </c>
      <c r="KZ3" s="452" t="s">
        <v>2411</v>
      </c>
      <c r="LA3" s="452" t="s">
        <v>481</v>
      </c>
      <c r="LB3" s="452" t="s">
        <v>2408</v>
      </c>
      <c r="LC3" s="452" t="s">
        <v>2409</v>
      </c>
      <c r="LD3" s="452" t="s">
        <v>2410</v>
      </c>
      <c r="LE3" s="452" t="s">
        <v>2411</v>
      </c>
      <c r="LF3" s="450"/>
      <c r="LG3" s="450"/>
      <c r="LH3" s="450"/>
      <c r="LI3" s="450"/>
      <c r="LJ3" s="450"/>
      <c r="LK3" s="1707"/>
      <c r="LL3" s="1707"/>
      <c r="LM3" s="1707"/>
      <c r="LN3" s="1707"/>
      <c r="LO3" s="1707"/>
      <c r="LP3" s="1707"/>
      <c r="LQ3" s="1707"/>
      <c r="LR3" s="1707"/>
      <c r="LS3" s="1707"/>
      <c r="LT3" s="1707"/>
      <c r="LU3" s="1707"/>
      <c r="LV3" s="1707"/>
      <c r="LW3" s="1707"/>
      <c r="LX3" s="1707"/>
      <c r="LY3" s="1707"/>
      <c r="LZ3" s="1707"/>
      <c r="MA3" s="1707"/>
      <c r="MB3" s="1707"/>
      <c r="MC3" s="1707"/>
      <c r="MD3" s="1707"/>
      <c r="ME3" s="3211" t="s">
        <v>3358</v>
      </c>
      <c r="MF3" s="3211" t="s">
        <v>3359</v>
      </c>
      <c r="MG3" s="3211" t="s">
        <v>3360</v>
      </c>
      <c r="MH3" s="3211" t="s">
        <v>3361</v>
      </c>
      <c r="MI3" s="3211" t="s">
        <v>3362</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223" t="s">
        <v>3598</v>
      </c>
      <c r="Q4" s="1746"/>
      <c r="R4" s="416"/>
      <c r="S4" s="416"/>
      <c r="T4" s="416"/>
      <c r="U4" s="416"/>
      <c r="V4" s="417"/>
      <c r="W4" s="3172" t="s">
        <v>4292</v>
      </c>
      <c r="X4" s="3172" t="s">
        <v>4293</v>
      </c>
      <c r="Y4" s="3172" t="s">
        <v>4294</v>
      </c>
      <c r="Z4" s="3172" t="s">
        <v>4295</v>
      </c>
      <c r="AA4" s="3172" t="s">
        <v>4296</v>
      </c>
      <c r="AB4" s="3172" t="s">
        <v>4297</v>
      </c>
      <c r="AC4" s="3172" t="s">
        <v>4298</v>
      </c>
      <c r="AD4" s="3172" t="s">
        <v>4299</v>
      </c>
      <c r="AE4" s="3172" t="s">
        <v>4300</v>
      </c>
      <c r="AF4" s="3172" t="s">
        <v>4301</v>
      </c>
      <c r="AG4" s="3172" t="s">
        <v>906</v>
      </c>
      <c r="AH4" s="3172" t="s">
        <v>745</v>
      </c>
      <c r="AI4" s="3172" t="s">
        <v>746</v>
      </c>
      <c r="AJ4" s="3172" t="s">
        <v>747</v>
      </c>
      <c r="AK4" s="3172" t="s">
        <v>748</v>
      </c>
      <c r="AL4" s="3172" t="s">
        <v>907</v>
      </c>
      <c r="AM4" s="3172" t="s">
        <v>2281</v>
      </c>
      <c r="AN4" s="3172" t="s">
        <v>2282</v>
      </c>
      <c r="AO4" s="3172" t="s">
        <v>2283</v>
      </c>
      <c r="AP4" s="3172" t="s">
        <v>2284</v>
      </c>
      <c r="AQ4" s="3172" t="s">
        <v>4303</v>
      </c>
      <c r="AR4" s="3172" t="s">
        <v>4304</v>
      </c>
      <c r="AS4" s="3172" t="s">
        <v>4305</v>
      </c>
      <c r="AT4" s="3172" t="s">
        <v>4306</v>
      </c>
      <c r="AU4" s="3172" t="s">
        <v>4302</v>
      </c>
      <c r="AV4" s="3172" t="s">
        <v>908</v>
      </c>
      <c r="AW4" s="3172" t="s">
        <v>2285</v>
      </c>
      <c r="AX4" s="3172" t="s">
        <v>2286</v>
      </c>
      <c r="AY4" s="3172" t="s">
        <v>2287</v>
      </c>
      <c r="AZ4" s="3172" t="s">
        <v>2288</v>
      </c>
      <c r="BA4" s="3172" t="s">
        <v>4307</v>
      </c>
      <c r="BB4" s="3172" t="s">
        <v>4308</v>
      </c>
      <c r="BC4" s="3172" t="s">
        <v>4309</v>
      </c>
      <c r="BD4" s="3172" t="s">
        <v>4310</v>
      </c>
      <c r="BE4" s="3172" t="s">
        <v>4311</v>
      </c>
      <c r="BF4" s="3172" t="s">
        <v>127</v>
      </c>
      <c r="BG4" s="3172" t="s">
        <v>2289</v>
      </c>
      <c r="BH4" s="3172" t="s">
        <v>2290</v>
      </c>
      <c r="BI4" s="3172" t="s">
        <v>2291</v>
      </c>
      <c r="BJ4" s="3172" t="s">
        <v>1135</v>
      </c>
      <c r="BK4" s="3172" t="s">
        <v>4312</v>
      </c>
      <c r="BL4" s="3172" t="s">
        <v>4313</v>
      </c>
      <c r="BM4" s="3172" t="s">
        <v>4314</v>
      </c>
      <c r="BN4" s="3172" t="s">
        <v>4315</v>
      </c>
      <c r="BO4" s="3172" t="s">
        <v>4316</v>
      </c>
      <c r="BP4" s="3172" t="s">
        <v>547</v>
      </c>
      <c r="BQ4" s="3172" t="s">
        <v>548</v>
      </c>
      <c r="BR4" s="3172" t="s">
        <v>567</v>
      </c>
      <c r="BS4" s="3172" t="s">
        <v>568</v>
      </c>
      <c r="BT4" s="3172" t="s">
        <v>569</v>
      </c>
      <c r="BU4" s="3172" t="s">
        <v>4317</v>
      </c>
      <c r="BV4" s="3172" t="s">
        <v>4318</v>
      </c>
      <c r="BW4" s="3172" t="s">
        <v>4319</v>
      </c>
      <c r="BX4" s="3172" t="s">
        <v>4320</v>
      </c>
      <c r="BY4" s="3172" t="s">
        <v>4321</v>
      </c>
      <c r="BZ4" s="3172" t="s">
        <v>570</v>
      </c>
      <c r="CA4" s="3172" t="s">
        <v>571</v>
      </c>
      <c r="CB4" s="3172" t="s">
        <v>572</v>
      </c>
      <c r="CC4" s="3172" t="s">
        <v>573</v>
      </c>
      <c r="CD4" s="3172" t="s">
        <v>574</v>
      </c>
      <c r="CE4" s="3172" t="s">
        <v>575</v>
      </c>
      <c r="CF4" s="3172" t="s">
        <v>576</v>
      </c>
      <c r="CG4" s="3172" t="s">
        <v>918</v>
      </c>
      <c r="CH4" s="3172" t="s">
        <v>919</v>
      </c>
      <c r="CI4" s="3172" t="s">
        <v>920</v>
      </c>
      <c r="CJ4" s="3172" t="s">
        <v>4327</v>
      </c>
      <c r="CK4" s="3172" t="s">
        <v>4328</v>
      </c>
      <c r="CL4" s="3172" t="s">
        <v>4329</v>
      </c>
      <c r="CM4" s="3172" t="s">
        <v>4330</v>
      </c>
      <c r="CN4" s="3172" t="s">
        <v>4331</v>
      </c>
      <c r="CO4" s="3172" t="s">
        <v>4322</v>
      </c>
      <c r="CP4" s="3172" t="s">
        <v>4323</v>
      </c>
      <c r="CQ4" s="3172" t="s">
        <v>4324</v>
      </c>
      <c r="CR4" s="3172" t="s">
        <v>4325</v>
      </c>
      <c r="CS4" s="3172" t="s">
        <v>4326</v>
      </c>
      <c r="CT4" s="3172" t="s">
        <v>4332</v>
      </c>
      <c r="CU4" s="3172" t="s">
        <v>4333</v>
      </c>
      <c r="CV4" s="3172" t="s">
        <v>4334</v>
      </c>
      <c r="CW4" s="3172" t="s">
        <v>4335</v>
      </c>
      <c r="CX4" s="3172" t="s">
        <v>4336</v>
      </c>
      <c r="CY4" s="3172" t="s">
        <v>491</v>
      </c>
      <c r="CZ4" s="3172" t="s">
        <v>492</v>
      </c>
      <c r="DA4" s="3172" t="s">
        <v>493</v>
      </c>
      <c r="DB4" s="3172" t="s">
        <v>494</v>
      </c>
      <c r="DC4" s="3172" t="s">
        <v>495</v>
      </c>
      <c r="DD4" s="3172" t="s">
        <v>4337</v>
      </c>
      <c r="DE4" s="3172" t="s">
        <v>4338</v>
      </c>
      <c r="DF4" s="3172" t="s">
        <v>4339</v>
      </c>
      <c r="DG4" s="3172" t="s">
        <v>4340</v>
      </c>
      <c r="DH4" s="3172" t="s">
        <v>4341</v>
      </c>
      <c r="DI4" s="3172" t="s">
        <v>867</v>
      </c>
      <c r="DJ4" s="3172" t="s">
        <v>868</v>
      </c>
      <c r="DK4" s="3172" t="s">
        <v>869</v>
      </c>
      <c r="DL4" s="3172" t="s">
        <v>870</v>
      </c>
      <c r="DM4" s="3172" t="s">
        <v>871</v>
      </c>
      <c r="DN4" s="3172" t="s">
        <v>872</v>
      </c>
      <c r="DO4" s="3172" t="s">
        <v>873</v>
      </c>
      <c r="DP4" s="3172" t="s">
        <v>874</v>
      </c>
      <c r="DQ4" s="3172" t="s">
        <v>875</v>
      </c>
      <c r="DR4" s="3172" t="s">
        <v>876</v>
      </c>
      <c r="DS4" s="3172" t="s">
        <v>4342</v>
      </c>
      <c r="DT4" s="3172" t="s">
        <v>4343</v>
      </c>
      <c r="DU4" s="3172" t="s">
        <v>4344</v>
      </c>
      <c r="DV4" s="3172" t="s">
        <v>4345</v>
      </c>
      <c r="DW4" s="3172" t="s">
        <v>4346</v>
      </c>
      <c r="DX4" s="3172" t="s">
        <v>4347</v>
      </c>
      <c r="DY4" s="3172" t="s">
        <v>4348</v>
      </c>
      <c r="DZ4" s="3172" t="s">
        <v>4349</v>
      </c>
      <c r="EA4" s="3172" t="s">
        <v>4350</v>
      </c>
      <c r="EB4" s="3172" t="s">
        <v>4351</v>
      </c>
      <c r="EC4" s="3172" t="s">
        <v>2398</v>
      </c>
      <c r="ED4" s="3172" t="s">
        <v>2399</v>
      </c>
      <c r="EE4" s="3172" t="s">
        <v>2400</v>
      </c>
      <c r="EF4" s="3172" t="s">
        <v>2401</v>
      </c>
      <c r="EG4" s="3172" t="s">
        <v>2402</v>
      </c>
      <c r="EH4" s="3172" t="s">
        <v>4352</v>
      </c>
      <c r="EI4" s="3172" t="s">
        <v>4353</v>
      </c>
      <c r="EJ4" s="3172" t="s">
        <v>4354</v>
      </c>
      <c r="EK4" s="3172" t="s">
        <v>4355</v>
      </c>
      <c r="EL4" s="3172" t="s">
        <v>4356</v>
      </c>
      <c r="EM4" s="3172" t="s">
        <v>4357</v>
      </c>
      <c r="EN4" s="3172" t="s">
        <v>4358</v>
      </c>
      <c r="EO4" s="3172" t="s">
        <v>4359</v>
      </c>
      <c r="EP4" s="3172" t="s">
        <v>4360</v>
      </c>
      <c r="EQ4" s="3172" t="s">
        <v>4361</v>
      </c>
      <c r="ER4" s="3211" t="s">
        <v>115</v>
      </c>
      <c r="ES4" s="3211" t="s">
        <v>1138</v>
      </c>
      <c r="ET4" s="3211" t="s">
        <v>1139</v>
      </c>
      <c r="EU4" s="3211" t="s">
        <v>1198</v>
      </c>
      <c r="EV4" s="3211" t="s">
        <v>1199</v>
      </c>
      <c r="EW4" s="3211" t="s">
        <v>130</v>
      </c>
      <c r="EX4" s="3211" t="s">
        <v>1200</v>
      </c>
      <c r="EY4" s="3211" t="s">
        <v>1201</v>
      </c>
      <c r="EZ4" s="3211" t="s">
        <v>1202</v>
      </c>
      <c r="FA4" s="3211" t="s">
        <v>1203</v>
      </c>
      <c r="FB4" s="3172" t="s">
        <v>4362</v>
      </c>
      <c r="FC4" s="3172" t="s">
        <v>4363</v>
      </c>
      <c r="FD4" s="3172" t="s">
        <v>4364</v>
      </c>
      <c r="FE4" s="3172" t="s">
        <v>4365</v>
      </c>
      <c r="FF4" s="3172" t="s">
        <v>4366</v>
      </c>
      <c r="FG4" s="3211" t="s">
        <v>129</v>
      </c>
      <c r="FH4" s="3211" t="s">
        <v>898</v>
      </c>
      <c r="FI4" s="3211" t="s">
        <v>899</v>
      </c>
      <c r="FJ4" s="3211" t="s">
        <v>900</v>
      </c>
      <c r="FK4" s="3211" t="s">
        <v>901</v>
      </c>
      <c r="FL4" s="3172" t="s">
        <v>4367</v>
      </c>
      <c r="FM4" s="3172" t="s">
        <v>4368</v>
      </c>
      <c r="FN4" s="3172" t="s">
        <v>4369</v>
      </c>
      <c r="FO4" s="3172" t="s">
        <v>4370</v>
      </c>
      <c r="FP4" s="3172" t="s">
        <v>4371</v>
      </c>
      <c r="FQ4" s="3211" t="s">
        <v>128</v>
      </c>
      <c r="FR4" s="3211" t="s">
        <v>902</v>
      </c>
      <c r="FS4" s="3211" t="s">
        <v>903</v>
      </c>
      <c r="FT4" s="3211" t="s">
        <v>904</v>
      </c>
      <c r="FU4" s="3211" t="s">
        <v>905</v>
      </c>
      <c r="FV4" s="3211" t="s">
        <v>797</v>
      </c>
      <c r="FW4" s="3211" t="s">
        <v>798</v>
      </c>
      <c r="FX4" s="3211" t="s">
        <v>799</v>
      </c>
      <c r="FY4" s="3211" t="s">
        <v>800</v>
      </c>
      <c r="FZ4" s="3211" t="s">
        <v>801</v>
      </c>
      <c r="GA4" s="3211" t="s">
        <v>944</v>
      </c>
      <c r="GB4" s="3211" t="s">
        <v>945</v>
      </c>
      <c r="GC4" s="3211" t="s">
        <v>946</v>
      </c>
      <c r="GD4" s="3211" t="s">
        <v>947</v>
      </c>
      <c r="GE4" s="3211" t="s">
        <v>2397</v>
      </c>
      <c r="GF4" s="3211" t="s">
        <v>1417</v>
      </c>
      <c r="GG4" s="3211" t="s">
        <v>1418</v>
      </c>
      <c r="GH4" s="3211" t="s">
        <v>1419</v>
      </c>
      <c r="GI4" s="3211" t="s">
        <v>1420</v>
      </c>
      <c r="GJ4" s="3211" t="s">
        <v>1421</v>
      </c>
      <c r="GK4" s="3211" t="s">
        <v>432</v>
      </c>
      <c r="GL4" s="3211" t="s">
        <v>433</v>
      </c>
      <c r="GM4" s="3211" t="s">
        <v>434</v>
      </c>
      <c r="GN4" s="3211" t="s">
        <v>435</v>
      </c>
      <c r="GO4" s="3211" t="s">
        <v>436</v>
      </c>
      <c r="GP4" s="3211" t="s">
        <v>15</v>
      </c>
      <c r="GQ4" s="3211" t="s">
        <v>16</v>
      </c>
      <c r="GR4" s="3211" t="s">
        <v>17</v>
      </c>
      <c r="GS4" s="3211" t="s">
        <v>18</v>
      </c>
      <c r="GT4" s="3211" t="s">
        <v>19</v>
      </c>
      <c r="GU4" s="3211" t="s">
        <v>219</v>
      </c>
      <c r="GV4" s="3211" t="s">
        <v>220</v>
      </c>
      <c r="GW4" s="3211" t="s">
        <v>221</v>
      </c>
      <c r="GX4" s="3211" t="s">
        <v>1787</v>
      </c>
      <c r="GY4" s="3211" t="s">
        <v>1788</v>
      </c>
      <c r="GZ4" s="3211" t="s">
        <v>1789</v>
      </c>
      <c r="HA4" s="3211" t="s">
        <v>582</v>
      </c>
      <c r="HB4" s="3211" t="s">
        <v>583</v>
      </c>
      <c r="HC4" s="3211" t="s">
        <v>584</v>
      </c>
      <c r="HD4" s="3211" t="s">
        <v>585</v>
      </c>
      <c r="HE4" s="3211" t="s">
        <v>20</v>
      </c>
      <c r="HF4" s="3211" t="s">
        <v>21</v>
      </c>
      <c r="HG4" s="3211" t="s">
        <v>22</v>
      </c>
      <c r="HH4" s="3211" t="s">
        <v>23</v>
      </c>
      <c r="HI4" s="3211" t="s">
        <v>24</v>
      </c>
      <c r="HJ4" s="3211" t="s">
        <v>490</v>
      </c>
      <c r="HK4" s="3211" t="s">
        <v>428</v>
      </c>
      <c r="HL4" s="3211" t="s">
        <v>429</v>
      </c>
      <c r="HM4" s="3211" t="s">
        <v>430</v>
      </c>
      <c r="HN4" s="3211" t="s">
        <v>431</v>
      </c>
      <c r="HO4" s="3211" t="s">
        <v>2180</v>
      </c>
      <c r="HP4" s="3211" t="s">
        <v>2181</v>
      </c>
      <c r="HQ4" s="3211" t="s">
        <v>2182</v>
      </c>
      <c r="HR4" s="3211" t="s">
        <v>1461</v>
      </c>
      <c r="HS4" s="3211" t="s">
        <v>1462</v>
      </c>
      <c r="HT4" s="3211" t="s">
        <v>25</v>
      </c>
      <c r="HU4" s="3211" t="s">
        <v>26</v>
      </c>
      <c r="HV4" s="3211" t="s">
        <v>27</v>
      </c>
      <c r="HW4" s="3211" t="s">
        <v>28</v>
      </c>
      <c r="HX4" s="3211" t="s">
        <v>29</v>
      </c>
      <c r="HY4" s="1705"/>
      <c r="HZ4" s="1705"/>
      <c r="IA4" s="1705"/>
      <c r="IB4" s="1705"/>
      <c r="IC4" s="1705"/>
      <c r="ID4" s="1705"/>
      <c r="IE4" s="1705"/>
      <c r="IF4" s="1705"/>
      <c r="IG4" s="1705"/>
      <c r="IH4" s="1705"/>
      <c r="II4" s="1705"/>
      <c r="IJ4" s="1705"/>
      <c r="IK4" s="1705"/>
      <c r="IL4" s="1705"/>
      <c r="IM4" s="1705"/>
      <c r="IN4" s="1705"/>
      <c r="IO4" s="1705"/>
      <c r="IP4" s="1705"/>
      <c r="IQ4" s="1705"/>
      <c r="IR4" s="1705"/>
      <c r="IS4" s="1705"/>
      <c r="IT4" s="1705"/>
      <c r="IU4" s="1705"/>
      <c r="IV4" s="1705"/>
      <c r="IW4" s="1705"/>
      <c r="IX4" s="1705"/>
      <c r="IY4" s="1705"/>
      <c r="IZ4" s="1705"/>
      <c r="JA4" s="1705"/>
      <c r="JB4" s="1705"/>
      <c r="JC4" s="1705"/>
      <c r="JD4" s="1705"/>
      <c r="JE4" s="1705"/>
      <c r="JF4" s="1705"/>
      <c r="JG4" s="1705"/>
      <c r="JH4" s="1705"/>
      <c r="JI4" s="1705"/>
      <c r="JJ4" s="1705"/>
      <c r="JK4" s="1705"/>
      <c r="JL4" s="1705"/>
      <c r="JM4" s="1705"/>
      <c r="JN4" s="1705"/>
      <c r="JO4" s="1705"/>
      <c r="JP4" s="1705"/>
      <c r="JQ4" s="1705"/>
      <c r="JR4" s="1705"/>
      <c r="JS4" s="1705"/>
      <c r="JT4" s="1705"/>
      <c r="JU4" s="1705"/>
      <c r="JV4" s="1705"/>
      <c r="JW4" s="1705"/>
      <c r="JX4" s="1705"/>
      <c r="JY4" s="1705"/>
      <c r="JZ4" s="1705"/>
      <c r="KA4" s="1705"/>
      <c r="KB4" s="1705"/>
      <c r="KC4" s="1705"/>
      <c r="KD4" s="1705"/>
      <c r="KE4" s="1705"/>
      <c r="KF4" s="1705"/>
      <c r="KG4" s="1705"/>
      <c r="KH4" s="1705"/>
      <c r="KI4" s="1705"/>
      <c r="KJ4" s="1705"/>
      <c r="KK4" s="1705"/>
      <c r="KL4" s="1705"/>
      <c r="KM4" s="1705"/>
      <c r="KN4" s="1705"/>
      <c r="KO4" s="1705"/>
      <c r="KP4" s="1705"/>
      <c r="KQ4" s="1705"/>
      <c r="KR4" s="1705"/>
      <c r="KS4" s="1705"/>
      <c r="KT4" s="1705"/>
      <c r="KU4" s="1705"/>
      <c r="KV4" s="450"/>
      <c r="KW4" s="450"/>
      <c r="KX4" s="450"/>
      <c r="KY4" s="450"/>
      <c r="KZ4" s="450"/>
      <c r="LA4" s="450"/>
      <c r="LB4" s="450"/>
      <c r="LC4" s="450"/>
      <c r="LD4" s="450"/>
      <c r="LE4" s="450"/>
      <c r="LF4" s="3211" t="s">
        <v>1606</v>
      </c>
      <c r="LG4" s="3211" t="s">
        <v>2490</v>
      </c>
      <c r="LH4" s="3211" t="s">
        <v>2491</v>
      </c>
      <c r="LI4" s="3211" t="s">
        <v>382</v>
      </c>
      <c r="LJ4" s="3211" t="s">
        <v>383</v>
      </c>
      <c r="LK4" s="3211" t="s">
        <v>384</v>
      </c>
      <c r="LL4" s="3211" t="s">
        <v>385</v>
      </c>
      <c r="LM4" s="3211" t="s">
        <v>386</v>
      </c>
      <c r="LN4" s="3211" t="s">
        <v>387</v>
      </c>
      <c r="LO4" s="3211" t="s">
        <v>388</v>
      </c>
      <c r="LP4" s="3211" t="s">
        <v>200</v>
      </c>
      <c r="LQ4" s="3211" t="s">
        <v>201</v>
      </c>
      <c r="LR4" s="3211" t="s">
        <v>202</v>
      </c>
      <c r="LS4" s="3211" t="s">
        <v>203</v>
      </c>
      <c r="LT4" s="3211" t="s">
        <v>204</v>
      </c>
      <c r="LU4" s="3211" t="s">
        <v>205</v>
      </c>
      <c r="LV4" s="3211" t="s">
        <v>206</v>
      </c>
      <c r="LW4" s="3211" t="s">
        <v>207</v>
      </c>
      <c r="LX4" s="3211" t="s">
        <v>208</v>
      </c>
      <c r="LY4" s="3211" t="s">
        <v>209</v>
      </c>
      <c r="LZ4" s="3211" t="s">
        <v>210</v>
      </c>
      <c r="MA4" s="3211" t="s">
        <v>211</v>
      </c>
      <c r="MB4" s="3211" t="s">
        <v>212</v>
      </c>
      <c r="MC4" s="3211" t="s">
        <v>213</v>
      </c>
      <c r="MD4" s="3211" t="s">
        <v>214</v>
      </c>
      <c r="ME4" s="3211"/>
      <c r="MF4" s="3211"/>
      <c r="MG4" s="3211"/>
      <c r="MH4" s="3211"/>
      <c r="MI4" s="3211"/>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3230" t="str">
        <f>IF(A48&gt;0,"Finish Row!","")</f>
        <v>Finish Row!</v>
      </c>
      <c r="B5" s="3" t="s">
        <v>1821</v>
      </c>
      <c r="D5" s="1"/>
      <c r="E5" s="3"/>
      <c r="F5" s="1"/>
      <c r="G5" s="2358" t="s">
        <v>199</v>
      </c>
      <c r="J5" s="1748" t="s">
        <v>3494</v>
      </c>
      <c r="K5" s="3231" t="str">
        <f>'Part I-Project Information'!$B$6</f>
        <v>May 2019</v>
      </c>
      <c r="L5" s="3232"/>
      <c r="M5" s="1745" t="s">
        <v>566</v>
      </c>
      <c r="O5" s="1747" t="s">
        <v>4387</v>
      </c>
      <c r="P5" s="3223"/>
      <c r="Q5" s="1746"/>
      <c r="R5" s="94"/>
      <c r="S5" s="94"/>
      <c r="T5" s="94"/>
      <c r="W5" s="3172"/>
      <c r="X5" s="3172"/>
      <c r="Y5" s="3172"/>
      <c r="Z5" s="3172"/>
      <c r="AA5" s="3172"/>
      <c r="AB5" s="3172"/>
      <c r="AC5" s="3172"/>
      <c r="AD5" s="3172"/>
      <c r="AE5" s="3172"/>
      <c r="AF5" s="3172"/>
      <c r="AG5" s="3172"/>
      <c r="AH5" s="3172"/>
      <c r="AI5" s="3172"/>
      <c r="AJ5" s="3172"/>
      <c r="AK5" s="3172"/>
      <c r="AL5" s="3172"/>
      <c r="AM5" s="3172"/>
      <c r="AN5" s="3172"/>
      <c r="AO5" s="3172"/>
      <c r="AP5" s="3172"/>
      <c r="AQ5" s="3172"/>
      <c r="AR5" s="3172"/>
      <c r="AS5" s="3172"/>
      <c r="AT5" s="3172"/>
      <c r="AU5" s="3172"/>
      <c r="AV5" s="3172"/>
      <c r="AW5" s="3172"/>
      <c r="AX5" s="3172"/>
      <c r="AY5" s="3172"/>
      <c r="AZ5" s="3172"/>
      <c r="BA5" s="3172"/>
      <c r="BB5" s="3172"/>
      <c r="BC5" s="3172"/>
      <c r="BD5" s="3172"/>
      <c r="BE5" s="3172"/>
      <c r="BF5" s="3172"/>
      <c r="BG5" s="3172"/>
      <c r="BH5" s="3172"/>
      <c r="BI5" s="3172"/>
      <c r="BJ5" s="3172"/>
      <c r="BK5" s="3172"/>
      <c r="BL5" s="3172"/>
      <c r="BM5" s="3172"/>
      <c r="BN5" s="3172"/>
      <c r="BO5" s="3172"/>
      <c r="BP5" s="3172"/>
      <c r="BQ5" s="3172"/>
      <c r="BR5" s="3172"/>
      <c r="BS5" s="3172"/>
      <c r="BT5" s="3172"/>
      <c r="BU5" s="3172"/>
      <c r="BV5" s="3172"/>
      <c r="BW5" s="3172"/>
      <c r="BX5" s="3172"/>
      <c r="BY5" s="3172"/>
      <c r="BZ5" s="3172"/>
      <c r="CA5" s="3172"/>
      <c r="CB5" s="3172"/>
      <c r="CC5" s="3172"/>
      <c r="CD5" s="3172"/>
      <c r="CE5" s="3172"/>
      <c r="CF5" s="3172"/>
      <c r="CG5" s="3172"/>
      <c r="CH5" s="3172"/>
      <c r="CI5" s="3172"/>
      <c r="CJ5" s="3172"/>
      <c r="CK5" s="3172"/>
      <c r="CL5" s="3172"/>
      <c r="CM5" s="3172"/>
      <c r="CN5" s="3172"/>
      <c r="CO5" s="3172"/>
      <c r="CP5" s="3172"/>
      <c r="CQ5" s="3172"/>
      <c r="CR5" s="3172"/>
      <c r="CS5" s="3172"/>
      <c r="CT5" s="3172"/>
      <c r="CU5" s="3172"/>
      <c r="CV5" s="3172"/>
      <c r="CW5" s="3172"/>
      <c r="CX5" s="3172"/>
      <c r="CY5" s="3172"/>
      <c r="CZ5" s="3172"/>
      <c r="DA5" s="3172"/>
      <c r="DB5" s="3172"/>
      <c r="DC5" s="3172"/>
      <c r="DD5" s="3172"/>
      <c r="DE5" s="3172"/>
      <c r="DF5" s="3172"/>
      <c r="DG5" s="3172"/>
      <c r="DH5" s="3172"/>
      <c r="DI5" s="3172"/>
      <c r="DJ5" s="3172"/>
      <c r="DK5" s="3172"/>
      <c r="DL5" s="3172"/>
      <c r="DM5" s="3172"/>
      <c r="DN5" s="3172"/>
      <c r="DO5" s="3172"/>
      <c r="DP5" s="3172"/>
      <c r="DQ5" s="3172"/>
      <c r="DR5" s="3172"/>
      <c r="DS5" s="3172"/>
      <c r="DT5" s="3172"/>
      <c r="DU5" s="3172"/>
      <c r="DV5" s="3172"/>
      <c r="DW5" s="3172"/>
      <c r="DX5" s="3172"/>
      <c r="DY5" s="3172"/>
      <c r="DZ5" s="3172"/>
      <c r="EA5" s="3172"/>
      <c r="EB5" s="3172"/>
      <c r="EC5" s="3172"/>
      <c r="ED5" s="3172"/>
      <c r="EE5" s="3172"/>
      <c r="EF5" s="3172"/>
      <c r="EG5" s="3172"/>
      <c r="EH5" s="3172"/>
      <c r="EI5" s="3172"/>
      <c r="EJ5" s="3172"/>
      <c r="EK5" s="3172"/>
      <c r="EL5" s="3172"/>
      <c r="EM5" s="3172"/>
      <c r="EN5" s="3172"/>
      <c r="EO5" s="3172"/>
      <c r="EP5" s="3172"/>
      <c r="EQ5" s="3172"/>
      <c r="ER5" s="3211"/>
      <c r="ES5" s="3211"/>
      <c r="ET5" s="3211"/>
      <c r="EU5" s="3211"/>
      <c r="EV5" s="3211"/>
      <c r="EW5" s="3211"/>
      <c r="EX5" s="3211"/>
      <c r="EY5" s="3211"/>
      <c r="EZ5" s="3211"/>
      <c r="FA5" s="3211"/>
      <c r="FB5" s="3172"/>
      <c r="FC5" s="3172"/>
      <c r="FD5" s="3172"/>
      <c r="FE5" s="3172"/>
      <c r="FF5" s="3172"/>
      <c r="FG5" s="3211"/>
      <c r="FH5" s="3211"/>
      <c r="FI5" s="3211"/>
      <c r="FJ5" s="3211"/>
      <c r="FK5" s="3211"/>
      <c r="FL5" s="3172"/>
      <c r="FM5" s="3172"/>
      <c r="FN5" s="3172"/>
      <c r="FO5" s="3172"/>
      <c r="FP5" s="3172"/>
      <c r="FQ5" s="3211"/>
      <c r="FR5" s="3211"/>
      <c r="FS5" s="3211"/>
      <c r="FT5" s="3211"/>
      <c r="FU5" s="3211"/>
      <c r="FV5" s="3211"/>
      <c r="FW5" s="3211"/>
      <c r="FX5" s="3211"/>
      <c r="FY5" s="3211"/>
      <c r="FZ5" s="3211"/>
      <c r="GA5" s="3211"/>
      <c r="GB5" s="3211"/>
      <c r="GC5" s="3211"/>
      <c r="GD5" s="3211"/>
      <c r="GE5" s="3211"/>
      <c r="GF5" s="3211"/>
      <c r="GG5" s="3211"/>
      <c r="GH5" s="3211"/>
      <c r="GI5" s="3211"/>
      <c r="GJ5" s="3211"/>
      <c r="GK5" s="3211"/>
      <c r="GL5" s="3211"/>
      <c r="GM5" s="3211"/>
      <c r="GN5" s="3211"/>
      <c r="GO5" s="3211"/>
      <c r="GP5" s="3211"/>
      <c r="GQ5" s="3211"/>
      <c r="GR5" s="3211"/>
      <c r="GS5" s="3211"/>
      <c r="GT5" s="3211"/>
      <c r="GU5" s="3211"/>
      <c r="GV5" s="3211"/>
      <c r="GW5" s="3211"/>
      <c r="GX5" s="3211"/>
      <c r="GY5" s="3211"/>
      <c r="GZ5" s="3211"/>
      <c r="HA5" s="3211"/>
      <c r="HB5" s="3211"/>
      <c r="HC5" s="3211"/>
      <c r="HD5" s="3211"/>
      <c r="HE5" s="3211"/>
      <c r="HF5" s="3211"/>
      <c r="HG5" s="3211"/>
      <c r="HH5" s="3211"/>
      <c r="HI5" s="3211"/>
      <c r="HJ5" s="3211"/>
      <c r="HK5" s="3211"/>
      <c r="HL5" s="3211"/>
      <c r="HM5" s="3211"/>
      <c r="HN5" s="3211"/>
      <c r="HO5" s="3211"/>
      <c r="HP5" s="3211"/>
      <c r="HQ5" s="3211"/>
      <c r="HR5" s="3211"/>
      <c r="HS5" s="3211"/>
      <c r="HT5" s="3211"/>
      <c r="HU5" s="3211"/>
      <c r="HV5" s="3211"/>
      <c r="HW5" s="3211"/>
      <c r="HX5" s="3211"/>
      <c r="HY5" s="1705"/>
      <c r="HZ5" s="1705"/>
      <c r="IA5" s="1705"/>
      <c r="IB5" s="1705"/>
      <c r="IC5" s="1705"/>
      <c r="ID5" s="1705"/>
      <c r="IE5" s="1705"/>
      <c r="IF5" s="1705"/>
      <c r="IG5" s="1705"/>
      <c r="IH5" s="1705"/>
      <c r="II5" s="1705"/>
      <c r="IJ5" s="1705"/>
      <c r="IK5" s="1705"/>
      <c r="IL5" s="1705"/>
      <c r="IM5" s="1705"/>
      <c r="IN5" s="1705"/>
      <c r="IO5" s="1705"/>
      <c r="IP5" s="1705"/>
      <c r="IQ5" s="1705"/>
      <c r="IR5" s="1705"/>
      <c r="IS5" s="1705"/>
      <c r="IT5" s="1705"/>
      <c r="IU5" s="1705"/>
      <c r="IV5" s="1705"/>
      <c r="IW5" s="1705"/>
      <c r="IX5" s="1705"/>
      <c r="IY5" s="1705"/>
      <c r="IZ5" s="1705"/>
      <c r="JA5" s="1705"/>
      <c r="JB5" s="1705"/>
      <c r="JC5" s="1705"/>
      <c r="JD5" s="1705"/>
      <c r="JE5" s="1705"/>
      <c r="JF5" s="1705"/>
      <c r="JG5" s="1705"/>
      <c r="JH5" s="1705"/>
      <c r="JI5" s="1705"/>
      <c r="JJ5" s="1705"/>
      <c r="JK5" s="1705"/>
      <c r="JL5" s="1705"/>
      <c r="JM5" s="1705"/>
      <c r="JN5" s="1705"/>
      <c r="JO5" s="1705"/>
      <c r="JP5" s="1705"/>
      <c r="JQ5" s="1705"/>
      <c r="JR5" s="1705"/>
      <c r="JS5" s="1705"/>
      <c r="JT5" s="1705"/>
      <c r="JU5" s="1705"/>
      <c r="JV5" s="1705"/>
      <c r="JW5" s="1705"/>
      <c r="JX5" s="1705"/>
      <c r="JY5" s="1705"/>
      <c r="JZ5" s="1705"/>
      <c r="KA5" s="1705"/>
      <c r="KB5" s="1705"/>
      <c r="KC5" s="1705"/>
      <c r="KD5" s="1705"/>
      <c r="KE5" s="1705"/>
      <c r="KF5" s="1705"/>
      <c r="KG5" s="1705"/>
      <c r="KH5" s="1705"/>
      <c r="KI5" s="1705"/>
      <c r="KJ5" s="1705"/>
      <c r="KK5" s="1705"/>
      <c r="KL5" s="1705"/>
      <c r="KM5" s="1705"/>
      <c r="KN5" s="1705"/>
      <c r="KO5" s="1705"/>
      <c r="KP5" s="1705"/>
      <c r="KQ5" s="1705"/>
      <c r="KR5" s="1705"/>
      <c r="KS5" s="1705"/>
      <c r="KT5" s="1705"/>
      <c r="KU5" s="1705"/>
      <c r="KV5" s="450"/>
      <c r="KW5" s="450"/>
      <c r="KX5" s="450"/>
      <c r="KY5" s="450"/>
      <c r="KZ5" s="450"/>
      <c r="LA5" s="450"/>
      <c r="LB5" s="450"/>
      <c r="LC5" s="450"/>
      <c r="LD5" s="450"/>
      <c r="LE5" s="450"/>
      <c r="LF5" s="3211"/>
      <c r="LG5" s="3211"/>
      <c r="LH5" s="3211"/>
      <c r="LI5" s="3211"/>
      <c r="LJ5" s="3211"/>
      <c r="LK5" s="3211"/>
      <c r="LL5" s="3211"/>
      <c r="LM5" s="3211"/>
      <c r="LN5" s="3211"/>
      <c r="LO5" s="3211"/>
      <c r="LP5" s="3211"/>
      <c r="LQ5" s="3211"/>
      <c r="LR5" s="3211"/>
      <c r="LS5" s="3211"/>
      <c r="LT5" s="3211"/>
      <c r="LU5" s="3211"/>
      <c r="LV5" s="3211"/>
      <c r="LW5" s="3211"/>
      <c r="LX5" s="3211"/>
      <c r="LY5" s="3211"/>
      <c r="LZ5" s="3211"/>
      <c r="MA5" s="3211"/>
      <c r="MB5" s="3211"/>
      <c r="MC5" s="3211"/>
      <c r="MD5" s="3211"/>
      <c r="ME5" s="3211"/>
      <c r="MF5" s="3211"/>
      <c r="MG5" s="3211"/>
      <c r="MH5" s="3211"/>
      <c r="MI5" s="3211"/>
      <c r="MJ5" s="3226" t="s">
        <v>3353</v>
      </c>
      <c r="MK5" s="3226" t="s">
        <v>3354</v>
      </c>
      <c r="ML5" s="3226" t="s">
        <v>3355</v>
      </c>
      <c r="MM5" s="3226" t="s">
        <v>3356</v>
      </c>
      <c r="MN5" s="3226" t="s">
        <v>3357</v>
      </c>
      <c r="MO5" s="3211" t="s">
        <v>3367</v>
      </c>
      <c r="MP5" s="3211" t="s">
        <v>3369</v>
      </c>
      <c r="MQ5" s="3211" t="s">
        <v>3370</v>
      </c>
      <c r="MR5" s="3211" t="s">
        <v>3371</v>
      </c>
      <c r="MS5" s="3211" t="s">
        <v>3372</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3230"/>
      <c r="B6" s="28" t="s">
        <v>1781</v>
      </c>
      <c r="D6" s="1"/>
      <c r="E6" s="3"/>
      <c r="F6" s="2359" t="s">
        <v>199</v>
      </c>
      <c r="G6" s="1748" t="s">
        <v>3565</v>
      </c>
      <c r="H6" s="3223" t="s">
        <v>3754</v>
      </c>
      <c r="I6" s="1748" t="s">
        <v>786</v>
      </c>
      <c r="J6" s="1748" t="s">
        <v>3568</v>
      </c>
      <c r="K6" s="3232"/>
      <c r="L6" s="3232"/>
      <c r="M6" s="3228" t="str">
        <f>'Part I-Project Information'!$O$40</f>
        <v>Atlanta-Sandy Springs-Marietta</v>
      </c>
      <c r="N6" s="3228"/>
      <c r="O6" s="875">
        <f>VLOOKUP('Part I-Project Information'!$O$40,'DCA Underwriting Assumptions'!$C$158:$D$268,2)</f>
        <v>74800</v>
      </c>
      <c r="P6" s="3223"/>
      <c r="Q6" s="1746"/>
      <c r="R6" s="94"/>
      <c r="S6" s="3224" t="s">
        <v>2660</v>
      </c>
      <c r="T6" s="3224"/>
      <c r="W6" s="3172"/>
      <c r="X6" s="3172"/>
      <c r="Y6" s="3172"/>
      <c r="Z6" s="3172"/>
      <c r="AA6" s="3172"/>
      <c r="AB6" s="3172"/>
      <c r="AC6" s="3172"/>
      <c r="AD6" s="3172"/>
      <c r="AE6" s="3172"/>
      <c r="AF6" s="3172"/>
      <c r="AG6" s="3172"/>
      <c r="AH6" s="3172"/>
      <c r="AI6" s="3172"/>
      <c r="AJ6" s="3172"/>
      <c r="AK6" s="3172"/>
      <c r="AL6" s="3172"/>
      <c r="AM6" s="3172"/>
      <c r="AN6" s="3172"/>
      <c r="AO6" s="3172"/>
      <c r="AP6" s="3172"/>
      <c r="AQ6" s="3172"/>
      <c r="AR6" s="3172"/>
      <c r="AS6" s="3172"/>
      <c r="AT6" s="3172"/>
      <c r="AU6" s="3172"/>
      <c r="AV6" s="3172"/>
      <c r="AW6" s="3172"/>
      <c r="AX6" s="3172"/>
      <c r="AY6" s="3172"/>
      <c r="AZ6" s="3172"/>
      <c r="BA6" s="3172"/>
      <c r="BB6" s="3172"/>
      <c r="BC6" s="3172"/>
      <c r="BD6" s="3172"/>
      <c r="BE6" s="3172"/>
      <c r="BF6" s="3172"/>
      <c r="BG6" s="3172"/>
      <c r="BH6" s="3172"/>
      <c r="BI6" s="3172"/>
      <c r="BJ6" s="3172"/>
      <c r="BK6" s="3172"/>
      <c r="BL6" s="3172"/>
      <c r="BM6" s="3172"/>
      <c r="BN6" s="3172"/>
      <c r="BO6" s="3172"/>
      <c r="BP6" s="3172"/>
      <c r="BQ6" s="3172"/>
      <c r="BR6" s="3172"/>
      <c r="BS6" s="3172"/>
      <c r="BT6" s="3172"/>
      <c r="BU6" s="3172"/>
      <c r="BV6" s="3172"/>
      <c r="BW6" s="3172"/>
      <c r="BX6" s="3172"/>
      <c r="BY6" s="3172"/>
      <c r="BZ6" s="3172"/>
      <c r="CA6" s="3172"/>
      <c r="CB6" s="3172"/>
      <c r="CC6" s="3172"/>
      <c r="CD6" s="3172"/>
      <c r="CE6" s="3172"/>
      <c r="CF6" s="3172"/>
      <c r="CG6" s="3172"/>
      <c r="CH6" s="3172"/>
      <c r="CI6" s="3172"/>
      <c r="CJ6" s="3172"/>
      <c r="CK6" s="3172"/>
      <c r="CL6" s="3172"/>
      <c r="CM6" s="3172"/>
      <c r="CN6" s="3172"/>
      <c r="CO6" s="3172"/>
      <c r="CP6" s="3172"/>
      <c r="CQ6" s="3172"/>
      <c r="CR6" s="3172"/>
      <c r="CS6" s="3172"/>
      <c r="CT6" s="3172"/>
      <c r="CU6" s="3172"/>
      <c r="CV6" s="3172"/>
      <c r="CW6" s="3172"/>
      <c r="CX6" s="3172"/>
      <c r="CY6" s="3172"/>
      <c r="CZ6" s="3172"/>
      <c r="DA6" s="3172"/>
      <c r="DB6" s="3172"/>
      <c r="DC6" s="3172"/>
      <c r="DD6" s="3172"/>
      <c r="DE6" s="3172"/>
      <c r="DF6" s="3172"/>
      <c r="DG6" s="3172"/>
      <c r="DH6" s="3172"/>
      <c r="DI6" s="3172"/>
      <c r="DJ6" s="3172"/>
      <c r="DK6" s="3172"/>
      <c r="DL6" s="3172"/>
      <c r="DM6" s="3172"/>
      <c r="DN6" s="3172"/>
      <c r="DO6" s="3172"/>
      <c r="DP6" s="3172"/>
      <c r="DQ6" s="3172"/>
      <c r="DR6" s="3172"/>
      <c r="DS6" s="3172"/>
      <c r="DT6" s="3172"/>
      <c r="DU6" s="3172"/>
      <c r="DV6" s="3172"/>
      <c r="DW6" s="3172"/>
      <c r="DX6" s="3172"/>
      <c r="DY6" s="3172"/>
      <c r="DZ6" s="3172"/>
      <c r="EA6" s="3172"/>
      <c r="EB6" s="3172"/>
      <c r="EC6" s="3172"/>
      <c r="ED6" s="3172"/>
      <c r="EE6" s="3172"/>
      <c r="EF6" s="3172"/>
      <c r="EG6" s="3172"/>
      <c r="EH6" s="3172"/>
      <c r="EI6" s="3172"/>
      <c r="EJ6" s="3172"/>
      <c r="EK6" s="3172"/>
      <c r="EL6" s="3172"/>
      <c r="EM6" s="3172"/>
      <c r="EN6" s="3172"/>
      <c r="EO6" s="3172"/>
      <c r="EP6" s="3172"/>
      <c r="EQ6" s="3172"/>
      <c r="ER6" s="3211"/>
      <c r="ES6" s="3211"/>
      <c r="ET6" s="3211"/>
      <c r="EU6" s="3211"/>
      <c r="EV6" s="3211"/>
      <c r="EW6" s="3211"/>
      <c r="EX6" s="3211"/>
      <c r="EY6" s="3211"/>
      <c r="EZ6" s="3211"/>
      <c r="FA6" s="3211"/>
      <c r="FB6" s="3172"/>
      <c r="FC6" s="3172"/>
      <c r="FD6" s="3172"/>
      <c r="FE6" s="3172"/>
      <c r="FF6" s="3172"/>
      <c r="FG6" s="3211"/>
      <c r="FH6" s="3211"/>
      <c r="FI6" s="3211"/>
      <c r="FJ6" s="3211"/>
      <c r="FK6" s="3211"/>
      <c r="FL6" s="3172"/>
      <c r="FM6" s="3172"/>
      <c r="FN6" s="3172"/>
      <c r="FO6" s="3172"/>
      <c r="FP6" s="3172"/>
      <c r="FQ6" s="3211"/>
      <c r="FR6" s="3211"/>
      <c r="FS6" s="3211"/>
      <c r="FT6" s="3211"/>
      <c r="FU6" s="3211"/>
      <c r="FV6" s="3211"/>
      <c r="FW6" s="3211"/>
      <c r="FX6" s="3211"/>
      <c r="FY6" s="3211"/>
      <c r="FZ6" s="3211"/>
      <c r="GA6" s="3211"/>
      <c r="GB6" s="3211"/>
      <c r="GC6" s="3211"/>
      <c r="GD6" s="3211"/>
      <c r="GE6" s="3211"/>
      <c r="GF6" s="3211"/>
      <c r="GG6" s="3211"/>
      <c r="GH6" s="3211"/>
      <c r="GI6" s="3211"/>
      <c r="GJ6" s="3211"/>
      <c r="GK6" s="3211"/>
      <c r="GL6" s="3211"/>
      <c r="GM6" s="3211"/>
      <c r="GN6" s="3211"/>
      <c r="GO6" s="3211"/>
      <c r="GP6" s="3211"/>
      <c r="GQ6" s="3211"/>
      <c r="GR6" s="3211"/>
      <c r="GS6" s="3211"/>
      <c r="GT6" s="3211"/>
      <c r="GU6" s="3211"/>
      <c r="GV6" s="3211"/>
      <c r="GW6" s="3211"/>
      <c r="GX6" s="3211"/>
      <c r="GY6" s="3211"/>
      <c r="GZ6" s="3211"/>
      <c r="HA6" s="3211"/>
      <c r="HB6" s="3211"/>
      <c r="HC6" s="3211"/>
      <c r="HD6" s="3211"/>
      <c r="HE6" s="3211"/>
      <c r="HF6" s="3211"/>
      <c r="HG6" s="3211"/>
      <c r="HH6" s="3211"/>
      <c r="HI6" s="3211"/>
      <c r="HJ6" s="3211"/>
      <c r="HK6" s="3211"/>
      <c r="HL6" s="3211"/>
      <c r="HM6" s="3211"/>
      <c r="HN6" s="3211"/>
      <c r="HO6" s="3211"/>
      <c r="HP6" s="3211"/>
      <c r="HQ6" s="3211"/>
      <c r="HR6" s="3211"/>
      <c r="HS6" s="3211"/>
      <c r="HT6" s="3211"/>
      <c r="HU6" s="3211"/>
      <c r="HV6" s="3211"/>
      <c r="HW6" s="3211"/>
      <c r="HX6" s="3211"/>
      <c r="HY6" s="1705"/>
      <c r="HZ6" s="1705"/>
      <c r="IA6" s="1705"/>
      <c r="IB6" s="1705"/>
      <c r="IC6" s="1705"/>
      <c r="ID6" s="1705"/>
      <c r="IE6" s="1705"/>
      <c r="IF6" s="1705"/>
      <c r="IG6" s="1705"/>
      <c r="IH6" s="1705"/>
      <c r="II6" s="1705"/>
      <c r="IJ6" s="1705"/>
      <c r="IK6" s="1705"/>
      <c r="IL6" s="1705"/>
      <c r="IM6" s="1705"/>
      <c r="IN6" s="1705"/>
      <c r="IO6" s="1705"/>
      <c r="IP6" s="1705"/>
      <c r="IQ6" s="1705"/>
      <c r="IR6" s="1705"/>
      <c r="IS6" s="1705"/>
      <c r="IT6" s="1705"/>
      <c r="IU6" s="1705"/>
      <c r="IV6" s="1705"/>
      <c r="IW6" s="1705"/>
      <c r="IX6" s="1705"/>
      <c r="IY6" s="1705"/>
      <c r="IZ6" s="1705"/>
      <c r="JA6" s="1705"/>
      <c r="JB6" s="1705"/>
      <c r="JC6" s="1705"/>
      <c r="JD6" s="1705"/>
      <c r="JE6" s="1705"/>
      <c r="JF6" s="1705"/>
      <c r="JG6" s="1705"/>
      <c r="JH6" s="1705"/>
      <c r="JI6" s="1705"/>
      <c r="JJ6" s="1705"/>
      <c r="JK6" s="1705"/>
      <c r="JL6" s="1705"/>
      <c r="JM6" s="1705"/>
      <c r="JN6" s="1705"/>
      <c r="JO6" s="1705"/>
      <c r="JP6" s="1705"/>
      <c r="JQ6" s="1705"/>
      <c r="JR6" s="1705"/>
      <c r="JS6" s="1705"/>
      <c r="JT6" s="1705"/>
      <c r="JU6" s="1705"/>
      <c r="JV6" s="1705"/>
      <c r="JW6" s="1705"/>
      <c r="JX6" s="1705"/>
      <c r="JY6" s="1705"/>
      <c r="JZ6" s="1705"/>
      <c r="KA6" s="1705"/>
      <c r="KB6" s="1705"/>
      <c r="KC6" s="1705"/>
      <c r="KD6" s="1705"/>
      <c r="KE6" s="1705"/>
      <c r="KF6" s="1705"/>
      <c r="KG6" s="1705"/>
      <c r="KH6" s="1705"/>
      <c r="KI6" s="1705"/>
      <c r="KJ6" s="1705"/>
      <c r="KK6" s="1705"/>
      <c r="KL6" s="1705"/>
      <c r="KM6" s="1705"/>
      <c r="KN6" s="1705"/>
      <c r="KO6" s="1705"/>
      <c r="KP6" s="1705"/>
      <c r="KQ6" s="1705"/>
      <c r="KR6" s="1705"/>
      <c r="KS6" s="1705"/>
      <c r="KT6" s="1705"/>
      <c r="KU6" s="1705"/>
      <c r="KV6" s="450"/>
      <c r="KW6" s="450"/>
      <c r="KX6" s="450"/>
      <c r="KY6" s="450"/>
      <c r="KZ6" s="450"/>
      <c r="LA6" s="450"/>
      <c r="LB6" s="450"/>
      <c r="LC6" s="450"/>
      <c r="LD6" s="450"/>
      <c r="LE6" s="450"/>
      <c r="LF6" s="3211"/>
      <c r="LG6" s="3211"/>
      <c r="LH6" s="3211"/>
      <c r="LI6" s="3211"/>
      <c r="LJ6" s="3211"/>
      <c r="LK6" s="3211"/>
      <c r="LL6" s="3211"/>
      <c r="LM6" s="3211"/>
      <c r="LN6" s="3211"/>
      <c r="LO6" s="3211"/>
      <c r="LP6" s="3211"/>
      <c r="LQ6" s="3211"/>
      <c r="LR6" s="3211"/>
      <c r="LS6" s="3211"/>
      <c r="LT6" s="3211"/>
      <c r="LU6" s="3211"/>
      <c r="LV6" s="3211"/>
      <c r="LW6" s="3211"/>
      <c r="LX6" s="3211"/>
      <c r="LY6" s="3211"/>
      <c r="LZ6" s="3211"/>
      <c r="MA6" s="3211"/>
      <c r="MB6" s="3211"/>
      <c r="MC6" s="3211"/>
      <c r="MD6" s="3211"/>
      <c r="ME6" s="3211"/>
      <c r="MF6" s="3211"/>
      <c r="MG6" s="3211"/>
      <c r="MH6" s="3211"/>
      <c r="MI6" s="3211"/>
      <c r="MJ6" s="3226"/>
      <c r="MK6" s="3226"/>
      <c r="ML6" s="3226"/>
      <c r="MM6" s="3226"/>
      <c r="MN6" s="3226"/>
      <c r="MO6" s="3211"/>
      <c r="MP6" s="3211"/>
      <c r="MQ6" s="3211"/>
      <c r="MR6" s="3211"/>
      <c r="MS6" s="3211"/>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230"/>
      <c r="B7" s="1054" t="s">
        <v>4374</v>
      </c>
      <c r="C7" s="1"/>
      <c r="D7" s="3"/>
      <c r="E7" s="1"/>
      <c r="F7" s="1"/>
      <c r="G7" s="1748" t="s">
        <v>3566</v>
      </c>
      <c r="H7" s="3223"/>
      <c r="I7" s="1748" t="s">
        <v>787</v>
      </c>
      <c r="J7" s="1748" t="s">
        <v>3569</v>
      </c>
      <c r="K7" s="867"/>
      <c r="L7" s="867"/>
      <c r="M7" s="3228"/>
      <c r="N7" s="3228"/>
      <c r="P7" s="3223"/>
      <c r="Q7" s="1746"/>
      <c r="R7" s="867"/>
      <c r="S7" s="868"/>
      <c r="T7" s="872" t="s">
        <v>2657</v>
      </c>
      <c r="U7" s="416"/>
      <c r="V7" s="417"/>
      <c r="W7" s="3172"/>
      <c r="X7" s="3172"/>
      <c r="Y7" s="3172"/>
      <c r="Z7" s="3172"/>
      <c r="AA7" s="3172"/>
      <c r="AB7" s="3172"/>
      <c r="AC7" s="3172"/>
      <c r="AD7" s="3172"/>
      <c r="AE7" s="3172"/>
      <c r="AF7" s="3172"/>
      <c r="AG7" s="3172"/>
      <c r="AH7" s="3172"/>
      <c r="AI7" s="3172"/>
      <c r="AJ7" s="3172"/>
      <c r="AK7" s="3172"/>
      <c r="AL7" s="3172"/>
      <c r="AM7" s="3172"/>
      <c r="AN7" s="3172"/>
      <c r="AO7" s="3172"/>
      <c r="AP7" s="3172"/>
      <c r="AQ7" s="3172"/>
      <c r="AR7" s="3172"/>
      <c r="AS7" s="3172"/>
      <c r="AT7" s="3172"/>
      <c r="AU7" s="3172"/>
      <c r="AV7" s="3172"/>
      <c r="AW7" s="3172"/>
      <c r="AX7" s="3172"/>
      <c r="AY7" s="3172"/>
      <c r="AZ7" s="3172"/>
      <c r="BA7" s="3172"/>
      <c r="BB7" s="3172"/>
      <c r="BC7" s="3172"/>
      <c r="BD7" s="3172"/>
      <c r="BE7" s="3172"/>
      <c r="BF7" s="3172"/>
      <c r="BG7" s="3172"/>
      <c r="BH7" s="3172"/>
      <c r="BI7" s="3172"/>
      <c r="BJ7" s="3172"/>
      <c r="BK7" s="3172"/>
      <c r="BL7" s="3172"/>
      <c r="BM7" s="3172"/>
      <c r="BN7" s="3172"/>
      <c r="BO7" s="3172"/>
      <c r="BP7" s="3172"/>
      <c r="BQ7" s="3172"/>
      <c r="BR7" s="3172"/>
      <c r="BS7" s="3172"/>
      <c r="BT7" s="3172"/>
      <c r="BU7" s="3172"/>
      <c r="BV7" s="3172"/>
      <c r="BW7" s="3172"/>
      <c r="BX7" s="3172"/>
      <c r="BY7" s="3172"/>
      <c r="BZ7" s="3172"/>
      <c r="CA7" s="3172"/>
      <c r="CB7" s="3172"/>
      <c r="CC7" s="3172"/>
      <c r="CD7" s="3172"/>
      <c r="CE7" s="3172"/>
      <c r="CF7" s="3172"/>
      <c r="CG7" s="3172"/>
      <c r="CH7" s="3172"/>
      <c r="CI7" s="3172"/>
      <c r="CJ7" s="3172"/>
      <c r="CK7" s="3172"/>
      <c r="CL7" s="3172"/>
      <c r="CM7" s="3172"/>
      <c r="CN7" s="3172"/>
      <c r="CO7" s="3172"/>
      <c r="CP7" s="3172"/>
      <c r="CQ7" s="3172"/>
      <c r="CR7" s="3172"/>
      <c r="CS7" s="3172"/>
      <c r="CT7" s="3172"/>
      <c r="CU7" s="3172"/>
      <c r="CV7" s="3172"/>
      <c r="CW7" s="3172"/>
      <c r="CX7" s="3172"/>
      <c r="CY7" s="3172"/>
      <c r="CZ7" s="3172"/>
      <c r="DA7" s="3172"/>
      <c r="DB7" s="3172"/>
      <c r="DC7" s="3172"/>
      <c r="DD7" s="3172"/>
      <c r="DE7" s="3172"/>
      <c r="DF7" s="3172"/>
      <c r="DG7" s="3172"/>
      <c r="DH7" s="3172"/>
      <c r="DI7" s="3172"/>
      <c r="DJ7" s="3172"/>
      <c r="DK7" s="3172"/>
      <c r="DL7" s="3172"/>
      <c r="DM7" s="3172"/>
      <c r="DN7" s="3172"/>
      <c r="DO7" s="3172"/>
      <c r="DP7" s="3172"/>
      <c r="DQ7" s="3172"/>
      <c r="DR7" s="3172"/>
      <c r="DS7" s="3172"/>
      <c r="DT7" s="3172"/>
      <c r="DU7" s="3172"/>
      <c r="DV7" s="3172"/>
      <c r="DW7" s="3172"/>
      <c r="DX7" s="3172"/>
      <c r="DY7" s="3172"/>
      <c r="DZ7" s="3172"/>
      <c r="EA7" s="3172"/>
      <c r="EB7" s="3172"/>
      <c r="EC7" s="3172"/>
      <c r="ED7" s="3172"/>
      <c r="EE7" s="3172"/>
      <c r="EF7" s="3172"/>
      <c r="EG7" s="3172"/>
      <c r="EH7" s="3172"/>
      <c r="EI7" s="3172"/>
      <c r="EJ7" s="3172"/>
      <c r="EK7" s="3172"/>
      <c r="EL7" s="3172"/>
      <c r="EM7" s="3172"/>
      <c r="EN7" s="3172"/>
      <c r="EO7" s="3172"/>
      <c r="EP7" s="3172"/>
      <c r="EQ7" s="3172"/>
      <c r="ER7" s="3211"/>
      <c r="ES7" s="3211"/>
      <c r="ET7" s="3211"/>
      <c r="EU7" s="3211"/>
      <c r="EV7" s="3211"/>
      <c r="EW7" s="3211"/>
      <c r="EX7" s="3211"/>
      <c r="EY7" s="3211"/>
      <c r="EZ7" s="3211"/>
      <c r="FA7" s="3211"/>
      <c r="FB7" s="3172"/>
      <c r="FC7" s="3172"/>
      <c r="FD7" s="3172"/>
      <c r="FE7" s="3172"/>
      <c r="FF7" s="3172"/>
      <c r="FG7" s="3211"/>
      <c r="FH7" s="3211"/>
      <c r="FI7" s="3211"/>
      <c r="FJ7" s="3211"/>
      <c r="FK7" s="3211"/>
      <c r="FL7" s="3172"/>
      <c r="FM7" s="3172"/>
      <c r="FN7" s="3172"/>
      <c r="FO7" s="3172"/>
      <c r="FP7" s="3172"/>
      <c r="FQ7" s="3211"/>
      <c r="FR7" s="3211"/>
      <c r="FS7" s="3211"/>
      <c r="FT7" s="3211"/>
      <c r="FU7" s="3211"/>
      <c r="FV7" s="3211"/>
      <c r="FW7" s="3211"/>
      <c r="FX7" s="3211"/>
      <c r="FY7" s="3211"/>
      <c r="FZ7" s="3211"/>
      <c r="GA7" s="3211"/>
      <c r="GB7" s="3211"/>
      <c r="GC7" s="3211"/>
      <c r="GD7" s="3211"/>
      <c r="GE7" s="3211"/>
      <c r="GF7" s="3211"/>
      <c r="GG7" s="3211"/>
      <c r="GH7" s="3211"/>
      <c r="GI7" s="3211"/>
      <c r="GJ7" s="3211"/>
      <c r="GK7" s="3211"/>
      <c r="GL7" s="3211"/>
      <c r="GM7" s="3211"/>
      <c r="GN7" s="3211"/>
      <c r="GO7" s="3211"/>
      <c r="GP7" s="3211"/>
      <c r="GQ7" s="3211"/>
      <c r="GR7" s="3211"/>
      <c r="GS7" s="3211"/>
      <c r="GT7" s="3211"/>
      <c r="GU7" s="3211"/>
      <c r="GV7" s="3211"/>
      <c r="GW7" s="3211"/>
      <c r="GX7" s="3211"/>
      <c r="GY7" s="3211"/>
      <c r="GZ7" s="3211"/>
      <c r="HA7" s="3211"/>
      <c r="HB7" s="3211"/>
      <c r="HC7" s="3211"/>
      <c r="HD7" s="3211"/>
      <c r="HE7" s="3211"/>
      <c r="HF7" s="3211"/>
      <c r="HG7" s="3211"/>
      <c r="HH7" s="3211"/>
      <c r="HI7" s="3211"/>
      <c r="HJ7" s="3211"/>
      <c r="HK7" s="3211"/>
      <c r="HL7" s="3211"/>
      <c r="HM7" s="3211"/>
      <c r="HN7" s="3211"/>
      <c r="HO7" s="3211"/>
      <c r="HP7" s="3211"/>
      <c r="HQ7" s="3211"/>
      <c r="HR7" s="3211"/>
      <c r="HS7" s="3211"/>
      <c r="HT7" s="3211"/>
      <c r="HU7" s="3211"/>
      <c r="HV7" s="3211"/>
      <c r="HW7" s="3211"/>
      <c r="HX7" s="3211"/>
      <c r="HY7" s="1705"/>
      <c r="HZ7" s="1705"/>
      <c r="IA7" s="1705"/>
      <c r="IB7" s="1705"/>
      <c r="IC7" s="1705"/>
      <c r="ID7" s="1705"/>
      <c r="IE7" s="1705"/>
      <c r="IF7" s="1705"/>
      <c r="IG7" s="1705"/>
      <c r="IH7" s="1705"/>
      <c r="II7" s="1705"/>
      <c r="IJ7" s="1705"/>
      <c r="IK7" s="1705"/>
      <c r="IL7" s="1705"/>
      <c r="IM7" s="1705"/>
      <c r="IN7" s="1705"/>
      <c r="IO7" s="1705"/>
      <c r="IP7" s="1705"/>
      <c r="IQ7" s="1705"/>
      <c r="IR7" s="1705"/>
      <c r="IS7" s="1705"/>
      <c r="IT7" s="1705"/>
      <c r="IU7" s="1705"/>
      <c r="IV7" s="1705"/>
      <c r="IW7" s="1705"/>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211"/>
      <c r="LG7" s="3211"/>
      <c r="LH7" s="3211"/>
      <c r="LI7" s="3211"/>
      <c r="LJ7" s="3211"/>
      <c r="LK7" s="3211"/>
      <c r="LL7" s="3211"/>
      <c r="LM7" s="3211"/>
      <c r="LN7" s="3211"/>
      <c r="LO7" s="3211"/>
      <c r="LP7" s="3211"/>
      <c r="LQ7" s="3211"/>
      <c r="LR7" s="3211"/>
      <c r="LS7" s="3211"/>
      <c r="LT7" s="3211"/>
      <c r="LU7" s="3211"/>
      <c r="LV7" s="3211"/>
      <c r="LW7" s="3211"/>
      <c r="LX7" s="3211"/>
      <c r="LY7" s="3211"/>
      <c r="LZ7" s="3211"/>
      <c r="MA7" s="3211"/>
      <c r="MB7" s="3211"/>
      <c r="MC7" s="3211"/>
      <c r="MD7" s="3211"/>
      <c r="ME7" s="3211"/>
      <c r="MF7" s="3211"/>
      <c r="MG7" s="3211"/>
      <c r="MH7" s="3211"/>
      <c r="MI7" s="3211"/>
      <c r="MJ7" s="3226"/>
      <c r="MK7" s="3226"/>
      <c r="ML7" s="3226"/>
      <c r="MM7" s="3226"/>
      <c r="MN7" s="3226"/>
      <c r="MO7" s="3211"/>
      <c r="MP7" s="3211"/>
      <c r="MQ7" s="3211"/>
      <c r="MR7" s="3211"/>
      <c r="MS7" s="3211"/>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230"/>
      <c r="B8" s="1426" t="s">
        <v>4375</v>
      </c>
      <c r="C8" s="1748" t="s">
        <v>170</v>
      </c>
      <c r="D8" s="1748" t="s">
        <v>537</v>
      </c>
      <c r="E8" s="1748" t="s">
        <v>1458</v>
      </c>
      <c r="F8" s="1748" t="s">
        <v>1458</v>
      </c>
      <c r="G8" s="1748" t="s">
        <v>1460</v>
      </c>
      <c r="H8" s="1748" t="s">
        <v>3566</v>
      </c>
      <c r="I8" s="3233" t="s">
        <v>4736</v>
      </c>
      <c r="J8" s="1748" t="s">
        <v>2375</v>
      </c>
      <c r="K8" s="3225" t="s">
        <v>143</v>
      </c>
      <c r="L8" s="3225"/>
      <c r="M8" s="1748" t="s">
        <v>2338</v>
      </c>
      <c r="N8" s="1748" t="s">
        <v>524</v>
      </c>
      <c r="O8" s="1748" t="s">
        <v>380</v>
      </c>
      <c r="P8" s="3223"/>
      <c r="Q8" s="3225" t="s">
        <v>3502</v>
      </c>
      <c r="R8" s="3225"/>
      <c r="S8" s="1748" t="s">
        <v>2656</v>
      </c>
      <c r="T8" s="1748" t="s">
        <v>2658</v>
      </c>
      <c r="U8" s="418"/>
      <c r="V8" s="419"/>
      <c r="W8" s="3172"/>
      <c r="X8" s="3172"/>
      <c r="Y8" s="3172"/>
      <c r="Z8" s="3172"/>
      <c r="AA8" s="3172"/>
      <c r="AB8" s="3172"/>
      <c r="AC8" s="3172"/>
      <c r="AD8" s="3172"/>
      <c r="AE8" s="3172"/>
      <c r="AF8" s="3172"/>
      <c r="AG8" s="3172"/>
      <c r="AH8" s="3172"/>
      <c r="AI8" s="3172"/>
      <c r="AJ8" s="3172"/>
      <c r="AK8" s="3172"/>
      <c r="AL8" s="3172"/>
      <c r="AM8" s="3172"/>
      <c r="AN8" s="3172"/>
      <c r="AO8" s="3172"/>
      <c r="AP8" s="3172"/>
      <c r="AQ8" s="3172"/>
      <c r="AR8" s="3172"/>
      <c r="AS8" s="3172"/>
      <c r="AT8" s="3172"/>
      <c r="AU8" s="3172"/>
      <c r="AV8" s="3172"/>
      <c r="AW8" s="3172"/>
      <c r="AX8" s="3172"/>
      <c r="AY8" s="3172"/>
      <c r="AZ8" s="3172"/>
      <c r="BA8" s="3172"/>
      <c r="BB8" s="3172"/>
      <c r="BC8" s="3172"/>
      <c r="BD8" s="3172"/>
      <c r="BE8" s="3172"/>
      <c r="BF8" s="3172"/>
      <c r="BG8" s="3172"/>
      <c r="BH8" s="3172"/>
      <c r="BI8" s="3172"/>
      <c r="BJ8" s="3172"/>
      <c r="BK8" s="3172"/>
      <c r="BL8" s="3172"/>
      <c r="BM8" s="3172"/>
      <c r="BN8" s="3172"/>
      <c r="BO8" s="3172"/>
      <c r="BP8" s="3172"/>
      <c r="BQ8" s="3172"/>
      <c r="BR8" s="3172"/>
      <c r="BS8" s="3172"/>
      <c r="BT8" s="3172"/>
      <c r="BU8" s="3172"/>
      <c r="BV8" s="3172"/>
      <c r="BW8" s="3172"/>
      <c r="BX8" s="3172"/>
      <c r="BY8" s="3172"/>
      <c r="BZ8" s="3172"/>
      <c r="CA8" s="3172"/>
      <c r="CB8" s="3172"/>
      <c r="CC8" s="3172"/>
      <c r="CD8" s="3172"/>
      <c r="CE8" s="3172"/>
      <c r="CF8" s="3172"/>
      <c r="CG8" s="3172"/>
      <c r="CH8" s="3172"/>
      <c r="CI8" s="3172"/>
      <c r="CJ8" s="3172"/>
      <c r="CK8" s="3172"/>
      <c r="CL8" s="3172"/>
      <c r="CM8" s="3172"/>
      <c r="CN8" s="3172"/>
      <c r="CO8" s="3172"/>
      <c r="CP8" s="3172"/>
      <c r="CQ8" s="3172"/>
      <c r="CR8" s="3172"/>
      <c r="CS8" s="3172"/>
      <c r="CT8" s="3172"/>
      <c r="CU8" s="3172"/>
      <c r="CV8" s="3172"/>
      <c r="CW8" s="3172"/>
      <c r="CX8" s="3172"/>
      <c r="CY8" s="3172"/>
      <c r="CZ8" s="3172"/>
      <c r="DA8" s="3172"/>
      <c r="DB8" s="3172"/>
      <c r="DC8" s="3172"/>
      <c r="DD8" s="3172"/>
      <c r="DE8" s="3172"/>
      <c r="DF8" s="3172"/>
      <c r="DG8" s="3172"/>
      <c r="DH8" s="3172"/>
      <c r="DI8" s="3172"/>
      <c r="DJ8" s="3172"/>
      <c r="DK8" s="3172"/>
      <c r="DL8" s="3172"/>
      <c r="DM8" s="3172"/>
      <c r="DN8" s="3172"/>
      <c r="DO8" s="3172"/>
      <c r="DP8" s="3172"/>
      <c r="DQ8" s="3172"/>
      <c r="DR8" s="3172"/>
      <c r="DS8" s="3172"/>
      <c r="DT8" s="3172"/>
      <c r="DU8" s="3172"/>
      <c r="DV8" s="3172"/>
      <c r="DW8" s="3172"/>
      <c r="DX8" s="3172"/>
      <c r="DY8" s="3172"/>
      <c r="DZ8" s="3172"/>
      <c r="EA8" s="3172"/>
      <c r="EB8" s="3172"/>
      <c r="EC8" s="3172"/>
      <c r="ED8" s="3172"/>
      <c r="EE8" s="3172"/>
      <c r="EF8" s="3172"/>
      <c r="EG8" s="3172"/>
      <c r="EH8" s="3172"/>
      <c r="EI8" s="3172"/>
      <c r="EJ8" s="3172"/>
      <c r="EK8" s="3172"/>
      <c r="EL8" s="3172"/>
      <c r="EM8" s="3172"/>
      <c r="EN8" s="3172"/>
      <c r="EO8" s="3172"/>
      <c r="EP8" s="3172"/>
      <c r="EQ8" s="3172"/>
      <c r="ER8" s="3211"/>
      <c r="ES8" s="3211"/>
      <c r="ET8" s="3211"/>
      <c r="EU8" s="3211"/>
      <c r="EV8" s="3211"/>
      <c r="EW8" s="3211"/>
      <c r="EX8" s="3211"/>
      <c r="EY8" s="3211"/>
      <c r="EZ8" s="3211"/>
      <c r="FA8" s="3211"/>
      <c r="FB8" s="3172"/>
      <c r="FC8" s="3172"/>
      <c r="FD8" s="3172"/>
      <c r="FE8" s="3172"/>
      <c r="FF8" s="3172"/>
      <c r="FG8" s="3211"/>
      <c r="FH8" s="3211"/>
      <c r="FI8" s="3211"/>
      <c r="FJ8" s="3211"/>
      <c r="FK8" s="3211"/>
      <c r="FL8" s="3172"/>
      <c r="FM8" s="3172"/>
      <c r="FN8" s="3172"/>
      <c r="FO8" s="3172"/>
      <c r="FP8" s="3172"/>
      <c r="FQ8" s="3211"/>
      <c r="FR8" s="3211"/>
      <c r="FS8" s="3211"/>
      <c r="FT8" s="3211"/>
      <c r="FU8" s="3211"/>
      <c r="FV8" s="3211"/>
      <c r="FW8" s="3211"/>
      <c r="FX8" s="3211"/>
      <c r="FY8" s="3211"/>
      <c r="FZ8" s="3211"/>
      <c r="GA8" s="3211"/>
      <c r="GB8" s="3211"/>
      <c r="GC8" s="3211"/>
      <c r="GD8" s="3211"/>
      <c r="GE8" s="3211"/>
      <c r="GF8" s="3211"/>
      <c r="GG8" s="3211"/>
      <c r="GH8" s="3211"/>
      <c r="GI8" s="3211"/>
      <c r="GJ8" s="3211"/>
      <c r="GK8" s="3211"/>
      <c r="GL8" s="3211"/>
      <c r="GM8" s="3211"/>
      <c r="GN8" s="3211"/>
      <c r="GO8" s="3211"/>
      <c r="GP8" s="3211"/>
      <c r="GQ8" s="3211"/>
      <c r="GR8" s="3211"/>
      <c r="GS8" s="3211"/>
      <c r="GT8" s="3211"/>
      <c r="GU8" s="3211"/>
      <c r="GV8" s="3211"/>
      <c r="GW8" s="3211"/>
      <c r="GX8" s="3211"/>
      <c r="GY8" s="3211"/>
      <c r="GZ8" s="3211"/>
      <c r="HA8" s="3211"/>
      <c r="HB8" s="3211"/>
      <c r="HC8" s="3211"/>
      <c r="HD8" s="3211"/>
      <c r="HE8" s="3211"/>
      <c r="HF8" s="3211"/>
      <c r="HG8" s="3211"/>
      <c r="HH8" s="3211"/>
      <c r="HI8" s="3211"/>
      <c r="HJ8" s="3211"/>
      <c r="HK8" s="3211"/>
      <c r="HL8" s="3211"/>
      <c r="HM8" s="3211"/>
      <c r="HN8" s="3211"/>
      <c r="HO8" s="3211"/>
      <c r="HP8" s="3211"/>
      <c r="HQ8" s="3211"/>
      <c r="HR8" s="3211"/>
      <c r="HS8" s="3211"/>
      <c r="HT8" s="3211"/>
      <c r="HU8" s="3211"/>
      <c r="HV8" s="3211"/>
      <c r="HW8" s="3211"/>
      <c r="HX8" s="3211"/>
      <c r="HY8" s="3211" t="s">
        <v>1446</v>
      </c>
      <c r="HZ8" s="453" t="s">
        <v>2408</v>
      </c>
      <c r="IA8" s="453" t="s">
        <v>2409</v>
      </c>
      <c r="IB8" s="453" t="s">
        <v>2410</v>
      </c>
      <c r="IC8" s="453" t="s">
        <v>2411</v>
      </c>
      <c r="ID8" s="3211" t="s">
        <v>2464</v>
      </c>
      <c r="IE8" s="3211" t="s">
        <v>2464</v>
      </c>
      <c r="IF8" s="3211" t="s">
        <v>2464</v>
      </c>
      <c r="IG8" s="3211" t="s">
        <v>2464</v>
      </c>
      <c r="IH8" s="3211" t="s">
        <v>2464</v>
      </c>
      <c r="II8" s="3211" t="s">
        <v>3309</v>
      </c>
      <c r="IJ8" s="3211" t="s">
        <v>3309</v>
      </c>
      <c r="IK8" s="3211" t="s">
        <v>3309</v>
      </c>
      <c r="IL8" s="3211" t="s">
        <v>3309</v>
      </c>
      <c r="IM8" s="3211" t="s">
        <v>3309</v>
      </c>
      <c r="IN8" s="453" t="s">
        <v>558</v>
      </c>
      <c r="IO8" s="453" t="s">
        <v>2408</v>
      </c>
      <c r="IP8" s="453" t="s">
        <v>2409</v>
      </c>
      <c r="IQ8" s="453" t="s">
        <v>2410</v>
      </c>
      <c r="IR8" s="453" t="s">
        <v>2411</v>
      </c>
      <c r="IS8" s="453" t="s">
        <v>558</v>
      </c>
      <c r="IT8" s="453" t="s">
        <v>2408</v>
      </c>
      <c r="IU8" s="453" t="s">
        <v>2409</v>
      </c>
      <c r="IV8" s="453" t="s">
        <v>2410</v>
      </c>
      <c r="IW8" s="453" t="s">
        <v>2411</v>
      </c>
      <c r="IX8" s="3211" t="s">
        <v>2466</v>
      </c>
      <c r="IY8" s="3211" t="s">
        <v>2466</v>
      </c>
      <c r="IZ8" s="3211" t="s">
        <v>2466</v>
      </c>
      <c r="JA8" s="3211" t="s">
        <v>2466</v>
      </c>
      <c r="JB8" s="3211" t="s">
        <v>2466</v>
      </c>
      <c r="JC8" s="3211" t="s">
        <v>3305</v>
      </c>
      <c r="JD8" s="3211" t="s">
        <v>3305</v>
      </c>
      <c r="JE8" s="3211" t="s">
        <v>3305</v>
      </c>
      <c r="JF8" s="3211" t="s">
        <v>3305</v>
      </c>
      <c r="JG8" s="3211" t="s">
        <v>3305</v>
      </c>
      <c r="JH8" s="3211" t="s">
        <v>355</v>
      </c>
      <c r="JI8" s="3211" t="s">
        <v>355</v>
      </c>
      <c r="JJ8" s="3211" t="s">
        <v>355</v>
      </c>
      <c r="JK8" s="3211" t="s">
        <v>355</v>
      </c>
      <c r="JL8" s="3211" t="s">
        <v>355</v>
      </c>
      <c r="JM8" s="3211" t="s">
        <v>3304</v>
      </c>
      <c r="JN8" s="3211" t="s">
        <v>3304</v>
      </c>
      <c r="JO8" s="3211" t="s">
        <v>3304</v>
      </c>
      <c r="JP8" s="3211" t="s">
        <v>3304</v>
      </c>
      <c r="JQ8" s="3211" t="s">
        <v>3304</v>
      </c>
      <c r="JR8" s="3211" t="s">
        <v>356</v>
      </c>
      <c r="JS8" s="3211" t="s">
        <v>356</v>
      </c>
      <c r="JT8" s="3211" t="s">
        <v>356</v>
      </c>
      <c r="JU8" s="3211" t="s">
        <v>356</v>
      </c>
      <c r="JV8" s="3211" t="s">
        <v>356</v>
      </c>
      <c r="JW8" s="3211" t="s">
        <v>3303</v>
      </c>
      <c r="JX8" s="3211" t="s">
        <v>3303</v>
      </c>
      <c r="JY8" s="3211" t="s">
        <v>3303</v>
      </c>
      <c r="JZ8" s="3211" t="s">
        <v>3303</v>
      </c>
      <c r="KA8" s="3211" t="s">
        <v>3303</v>
      </c>
      <c r="KB8" s="3211" t="s">
        <v>357</v>
      </c>
      <c r="KC8" s="3211" t="s">
        <v>357</v>
      </c>
      <c r="KD8" s="3211" t="s">
        <v>357</v>
      </c>
      <c r="KE8" s="3211" t="s">
        <v>357</v>
      </c>
      <c r="KF8" s="3211" t="s">
        <v>357</v>
      </c>
      <c r="KG8" s="3211" t="s">
        <v>3306</v>
      </c>
      <c r="KH8" s="3211" t="s">
        <v>3306</v>
      </c>
      <c r="KI8" s="3211" t="s">
        <v>3306</v>
      </c>
      <c r="KJ8" s="3211" t="s">
        <v>3306</v>
      </c>
      <c r="KK8" s="3211" t="s">
        <v>3306</v>
      </c>
      <c r="KL8" s="3211" t="s">
        <v>358</v>
      </c>
      <c r="KM8" s="3211" t="s">
        <v>358</v>
      </c>
      <c r="KN8" s="3211" t="s">
        <v>358</v>
      </c>
      <c r="KO8" s="3211" t="s">
        <v>358</v>
      </c>
      <c r="KP8" s="3211" t="s">
        <v>358</v>
      </c>
      <c r="KQ8" s="3211" t="s">
        <v>3307</v>
      </c>
      <c r="KR8" s="3211" t="s">
        <v>3307</v>
      </c>
      <c r="KS8" s="3211" t="s">
        <v>3307</v>
      </c>
      <c r="KT8" s="3211" t="s">
        <v>3307</v>
      </c>
      <c r="KU8" s="3211" t="s">
        <v>3307</v>
      </c>
      <c r="KV8" s="3211" t="s">
        <v>1445</v>
      </c>
      <c r="KW8" s="3211" t="s">
        <v>1445</v>
      </c>
      <c r="KX8" s="3211" t="s">
        <v>1445</v>
      </c>
      <c r="KY8" s="3211" t="s">
        <v>1445</v>
      </c>
      <c r="KZ8" s="3211" t="s">
        <v>1445</v>
      </c>
      <c r="LA8" s="3211" t="s">
        <v>3308</v>
      </c>
      <c r="LB8" s="3211" t="s">
        <v>3308</v>
      </c>
      <c r="LC8" s="3211" t="s">
        <v>3308</v>
      </c>
      <c r="LD8" s="3211" t="s">
        <v>3308</v>
      </c>
      <c r="LE8" s="3211" t="s">
        <v>3308</v>
      </c>
      <c r="LF8" s="3211"/>
      <c r="LG8" s="3211"/>
      <c r="LH8" s="3211"/>
      <c r="LI8" s="3211"/>
      <c r="LJ8" s="3211"/>
      <c r="LK8" s="3211"/>
      <c r="LL8" s="3211"/>
      <c r="LM8" s="3211"/>
      <c r="LN8" s="3211"/>
      <c r="LO8" s="3211"/>
      <c r="LP8" s="3211"/>
      <c r="LQ8" s="3211"/>
      <c r="LR8" s="3211"/>
      <c r="LS8" s="3211"/>
      <c r="LT8" s="3211"/>
      <c r="LU8" s="3211"/>
      <c r="LV8" s="3211"/>
      <c r="LW8" s="3211"/>
      <c r="LX8" s="3211"/>
      <c r="LY8" s="3211"/>
      <c r="LZ8" s="3211"/>
      <c r="MA8" s="3211"/>
      <c r="MB8" s="3211"/>
      <c r="MC8" s="3211"/>
      <c r="MD8" s="3211"/>
      <c r="ME8" s="3211"/>
      <c r="MF8" s="3211"/>
      <c r="MG8" s="3211"/>
      <c r="MH8" s="3211"/>
      <c r="MI8" s="3211"/>
      <c r="MJ8" s="3226"/>
      <c r="MK8" s="3226"/>
      <c r="ML8" s="3226"/>
      <c r="MM8" s="3226"/>
      <c r="MN8" s="3226"/>
      <c r="MO8" s="3211"/>
      <c r="MP8" s="3211"/>
      <c r="MQ8" s="3211"/>
      <c r="MR8" s="3211"/>
      <c r="MS8" s="3211"/>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230"/>
      <c r="B9" s="1689" t="s">
        <v>4738</v>
      </c>
      <c r="C9" s="1748" t="s">
        <v>169</v>
      </c>
      <c r="D9" s="1748" t="s">
        <v>171</v>
      </c>
      <c r="E9" s="1748" t="s">
        <v>1459</v>
      </c>
      <c r="F9" s="1748" t="s">
        <v>1264</v>
      </c>
      <c r="G9" s="1748" t="s">
        <v>3567</v>
      </c>
      <c r="H9" s="1748" t="s">
        <v>1460</v>
      </c>
      <c r="I9" s="3234"/>
      <c r="J9" s="449" t="s">
        <v>347</v>
      </c>
      <c r="K9" s="1748" t="s">
        <v>1512</v>
      </c>
      <c r="L9" s="1748" t="s">
        <v>531</v>
      </c>
      <c r="M9" s="1748" t="s">
        <v>1458</v>
      </c>
      <c r="N9" s="1748" t="s">
        <v>3258</v>
      </c>
      <c r="O9" s="1748" t="s">
        <v>381</v>
      </c>
      <c r="P9" s="3229"/>
      <c r="Q9" s="1748" t="s">
        <v>3503</v>
      </c>
      <c r="R9" s="1748" t="s">
        <v>1027</v>
      </c>
      <c r="S9" s="1748" t="s">
        <v>1460</v>
      </c>
      <c r="T9" s="1748" t="s">
        <v>2659</v>
      </c>
      <c r="U9" s="2880" t="s">
        <v>1820</v>
      </c>
      <c r="V9" s="2880"/>
      <c r="W9" s="3172"/>
      <c r="X9" s="3172"/>
      <c r="Y9" s="3172"/>
      <c r="Z9" s="3172"/>
      <c r="AA9" s="3172"/>
      <c r="AB9" s="3172"/>
      <c r="AC9" s="3172"/>
      <c r="AD9" s="3172"/>
      <c r="AE9" s="3172"/>
      <c r="AF9" s="3172"/>
      <c r="AG9" s="3172"/>
      <c r="AH9" s="3172"/>
      <c r="AI9" s="3172"/>
      <c r="AJ9" s="3172"/>
      <c r="AK9" s="3172"/>
      <c r="AL9" s="3172"/>
      <c r="AM9" s="3172"/>
      <c r="AN9" s="3172"/>
      <c r="AO9" s="3172"/>
      <c r="AP9" s="3172"/>
      <c r="AQ9" s="3172"/>
      <c r="AR9" s="3172"/>
      <c r="AS9" s="3172"/>
      <c r="AT9" s="3172"/>
      <c r="AU9" s="3172"/>
      <c r="AV9" s="3172"/>
      <c r="AW9" s="3172"/>
      <c r="AX9" s="3172"/>
      <c r="AY9" s="3172"/>
      <c r="AZ9" s="3172"/>
      <c r="BA9" s="3172"/>
      <c r="BB9" s="3172"/>
      <c r="BC9" s="3172"/>
      <c r="BD9" s="3172"/>
      <c r="BE9" s="3172"/>
      <c r="BF9" s="3172"/>
      <c r="BG9" s="3172"/>
      <c r="BH9" s="3172"/>
      <c r="BI9" s="3172"/>
      <c r="BJ9" s="3172"/>
      <c r="BK9" s="3172"/>
      <c r="BL9" s="3172"/>
      <c r="BM9" s="3172"/>
      <c r="BN9" s="3172"/>
      <c r="BO9" s="3172"/>
      <c r="BP9" s="3172"/>
      <c r="BQ9" s="3172"/>
      <c r="BR9" s="3172"/>
      <c r="BS9" s="3172"/>
      <c r="BT9" s="3172"/>
      <c r="BU9" s="3172"/>
      <c r="BV9" s="3172"/>
      <c r="BW9" s="3172"/>
      <c r="BX9" s="3172"/>
      <c r="BY9" s="3172"/>
      <c r="BZ9" s="3172"/>
      <c r="CA9" s="3172"/>
      <c r="CB9" s="3172"/>
      <c r="CC9" s="3172"/>
      <c r="CD9" s="3172"/>
      <c r="CE9" s="3172"/>
      <c r="CF9" s="3172"/>
      <c r="CG9" s="3172"/>
      <c r="CH9" s="3172"/>
      <c r="CI9" s="3172"/>
      <c r="CJ9" s="3172"/>
      <c r="CK9" s="3172"/>
      <c r="CL9" s="3172"/>
      <c r="CM9" s="3172"/>
      <c r="CN9" s="3172"/>
      <c r="CO9" s="3172"/>
      <c r="CP9" s="3172"/>
      <c r="CQ9" s="3172"/>
      <c r="CR9" s="3172"/>
      <c r="CS9" s="3172"/>
      <c r="CT9" s="3172"/>
      <c r="CU9" s="3172"/>
      <c r="CV9" s="3172"/>
      <c r="CW9" s="3172"/>
      <c r="CX9" s="3172"/>
      <c r="CY9" s="3172"/>
      <c r="CZ9" s="3172"/>
      <c r="DA9" s="3172"/>
      <c r="DB9" s="3172"/>
      <c r="DC9" s="3172"/>
      <c r="DD9" s="3172"/>
      <c r="DE9" s="3172"/>
      <c r="DF9" s="3172"/>
      <c r="DG9" s="3172"/>
      <c r="DH9" s="3172"/>
      <c r="DI9" s="3172"/>
      <c r="DJ9" s="3172"/>
      <c r="DK9" s="3172"/>
      <c r="DL9" s="3172"/>
      <c r="DM9" s="3172"/>
      <c r="DN9" s="3172"/>
      <c r="DO9" s="3172"/>
      <c r="DP9" s="3172"/>
      <c r="DQ9" s="3172"/>
      <c r="DR9" s="3172"/>
      <c r="DS9" s="3172"/>
      <c r="DT9" s="3172"/>
      <c r="DU9" s="3172"/>
      <c r="DV9" s="3172"/>
      <c r="DW9" s="3172"/>
      <c r="DX9" s="3172"/>
      <c r="DY9" s="3172"/>
      <c r="DZ9" s="3172"/>
      <c r="EA9" s="3172"/>
      <c r="EB9" s="3172"/>
      <c r="EC9" s="3172"/>
      <c r="ED9" s="3172"/>
      <c r="EE9" s="3172"/>
      <c r="EF9" s="3172"/>
      <c r="EG9" s="3172"/>
      <c r="EH9" s="3172"/>
      <c r="EI9" s="3172"/>
      <c r="EJ9" s="3172"/>
      <c r="EK9" s="3172"/>
      <c r="EL9" s="3172"/>
      <c r="EM9" s="3172"/>
      <c r="EN9" s="3172"/>
      <c r="EO9" s="3172"/>
      <c r="EP9" s="3172"/>
      <c r="EQ9" s="3172"/>
      <c r="ER9" s="3211"/>
      <c r="ES9" s="3211"/>
      <c r="ET9" s="3211"/>
      <c r="EU9" s="3211"/>
      <c r="EV9" s="3211"/>
      <c r="EW9" s="3211"/>
      <c r="EX9" s="3211"/>
      <c r="EY9" s="3211"/>
      <c r="EZ9" s="3211"/>
      <c r="FA9" s="3211"/>
      <c r="FB9" s="3172"/>
      <c r="FC9" s="3172"/>
      <c r="FD9" s="3172"/>
      <c r="FE9" s="3172"/>
      <c r="FF9" s="3172"/>
      <c r="FG9" s="3211"/>
      <c r="FH9" s="3211"/>
      <c r="FI9" s="3211"/>
      <c r="FJ9" s="3211"/>
      <c r="FK9" s="3211"/>
      <c r="FL9" s="3172"/>
      <c r="FM9" s="3172"/>
      <c r="FN9" s="3172"/>
      <c r="FO9" s="3172"/>
      <c r="FP9" s="3172"/>
      <c r="FQ9" s="3211"/>
      <c r="FR9" s="3211"/>
      <c r="FS9" s="3211"/>
      <c r="FT9" s="3211"/>
      <c r="FU9" s="3211"/>
      <c r="FV9" s="3211"/>
      <c r="FW9" s="3211"/>
      <c r="FX9" s="3211"/>
      <c r="FY9" s="3211"/>
      <c r="FZ9" s="3211"/>
      <c r="GA9" s="3211"/>
      <c r="GB9" s="3211"/>
      <c r="GC9" s="3211"/>
      <c r="GD9" s="3211"/>
      <c r="GE9" s="3211"/>
      <c r="GF9" s="3211"/>
      <c r="GG9" s="3211"/>
      <c r="GH9" s="3211"/>
      <c r="GI9" s="3211"/>
      <c r="GJ9" s="3211"/>
      <c r="GK9" s="3211"/>
      <c r="GL9" s="3211"/>
      <c r="GM9" s="3211"/>
      <c r="GN9" s="3211"/>
      <c r="GO9" s="3211"/>
      <c r="GP9" s="3211"/>
      <c r="GQ9" s="3211"/>
      <c r="GR9" s="3211"/>
      <c r="GS9" s="3211"/>
      <c r="GT9" s="3211"/>
      <c r="GU9" s="3211"/>
      <c r="GV9" s="3211"/>
      <c r="GW9" s="3211"/>
      <c r="GX9" s="3211"/>
      <c r="GY9" s="3211"/>
      <c r="GZ9" s="3211"/>
      <c r="HA9" s="3211"/>
      <c r="HB9" s="3211"/>
      <c r="HC9" s="3211"/>
      <c r="HD9" s="3211"/>
      <c r="HE9" s="3211"/>
      <c r="HF9" s="3211"/>
      <c r="HG9" s="3211"/>
      <c r="HH9" s="3211"/>
      <c r="HI9" s="3211"/>
      <c r="HJ9" s="3211"/>
      <c r="HK9" s="3211"/>
      <c r="HL9" s="3211"/>
      <c r="HM9" s="3211"/>
      <c r="HN9" s="3211"/>
      <c r="HO9" s="3211"/>
      <c r="HP9" s="3211"/>
      <c r="HQ9" s="3211"/>
      <c r="HR9" s="3211"/>
      <c r="HS9" s="3211"/>
      <c r="HT9" s="3211"/>
      <c r="HU9" s="3211"/>
      <c r="HV9" s="3211"/>
      <c r="HW9" s="3211"/>
      <c r="HX9" s="3211"/>
      <c r="HY9" s="3211"/>
      <c r="HZ9" s="453" t="s">
        <v>2463</v>
      </c>
      <c r="IA9" s="453" t="s">
        <v>2463</v>
      </c>
      <c r="IB9" s="453" t="s">
        <v>2463</v>
      </c>
      <c r="IC9" s="453" t="s">
        <v>2463</v>
      </c>
      <c r="ID9" s="3211"/>
      <c r="IE9" s="3211"/>
      <c r="IF9" s="3211"/>
      <c r="IG9" s="3211"/>
      <c r="IH9" s="3211"/>
      <c r="II9" s="3211"/>
      <c r="IJ9" s="3211"/>
      <c r="IK9" s="3211"/>
      <c r="IL9" s="3211"/>
      <c r="IM9" s="3211"/>
      <c r="IN9" s="453" t="s">
        <v>2465</v>
      </c>
      <c r="IO9" s="453" t="s">
        <v>2465</v>
      </c>
      <c r="IP9" s="453" t="s">
        <v>2465</v>
      </c>
      <c r="IQ9" s="453" t="s">
        <v>2465</v>
      </c>
      <c r="IR9" s="453" t="s">
        <v>2465</v>
      </c>
      <c r="IS9" s="453" t="s">
        <v>3310</v>
      </c>
      <c r="IT9" s="453" t="s">
        <v>3310</v>
      </c>
      <c r="IU9" s="453" t="s">
        <v>3310</v>
      </c>
      <c r="IV9" s="453" t="s">
        <v>3310</v>
      </c>
      <c r="IW9" s="453" t="s">
        <v>3310</v>
      </c>
      <c r="IX9" s="3211"/>
      <c r="IY9" s="3211"/>
      <c r="IZ9" s="3211"/>
      <c r="JA9" s="3211"/>
      <c r="JB9" s="3211"/>
      <c r="JC9" s="3211"/>
      <c r="JD9" s="3211"/>
      <c r="JE9" s="3211"/>
      <c r="JF9" s="3211"/>
      <c r="JG9" s="3211"/>
      <c r="JH9" s="3211"/>
      <c r="JI9" s="3211"/>
      <c r="JJ9" s="3211"/>
      <c r="JK9" s="3211"/>
      <c r="JL9" s="3211"/>
      <c r="JM9" s="3211"/>
      <c r="JN9" s="3211"/>
      <c r="JO9" s="3211"/>
      <c r="JP9" s="3211"/>
      <c r="JQ9" s="3211"/>
      <c r="JR9" s="3211"/>
      <c r="JS9" s="3211"/>
      <c r="JT9" s="3211"/>
      <c r="JU9" s="3211"/>
      <c r="JV9" s="3211"/>
      <c r="JW9" s="3211"/>
      <c r="JX9" s="3211"/>
      <c r="JY9" s="3211"/>
      <c r="JZ9" s="3211"/>
      <c r="KA9" s="3211"/>
      <c r="KB9" s="3211"/>
      <c r="KC9" s="3211"/>
      <c r="KD9" s="3211"/>
      <c r="KE9" s="3211"/>
      <c r="KF9" s="3211"/>
      <c r="KG9" s="3211"/>
      <c r="KH9" s="3211"/>
      <c r="KI9" s="3211"/>
      <c r="KJ9" s="3211"/>
      <c r="KK9" s="3211"/>
      <c r="KL9" s="3211"/>
      <c r="KM9" s="3211"/>
      <c r="KN9" s="3211"/>
      <c r="KO9" s="3211"/>
      <c r="KP9" s="3211"/>
      <c r="KQ9" s="3211"/>
      <c r="KR9" s="3211"/>
      <c r="KS9" s="3211"/>
      <c r="KT9" s="3211"/>
      <c r="KU9" s="3211"/>
      <c r="KV9" s="3211"/>
      <c r="KW9" s="3211"/>
      <c r="KX9" s="3211"/>
      <c r="KY9" s="3211"/>
      <c r="KZ9" s="3211"/>
      <c r="LA9" s="3211"/>
      <c r="LB9" s="3211"/>
      <c r="LC9" s="3211"/>
      <c r="LD9" s="3211"/>
      <c r="LE9" s="3211"/>
      <c r="LF9" s="3211"/>
      <c r="LG9" s="3211"/>
      <c r="LH9" s="3211"/>
      <c r="LI9" s="3211"/>
      <c r="LJ9" s="3211"/>
      <c r="LK9" s="3211"/>
      <c r="LL9" s="3211"/>
      <c r="LM9" s="3211"/>
      <c r="LN9" s="3211"/>
      <c r="LO9" s="3211"/>
      <c r="LP9" s="3211"/>
      <c r="LQ9" s="3211"/>
      <c r="LR9" s="3211"/>
      <c r="LS9" s="3211"/>
      <c r="LT9" s="3211"/>
      <c r="LU9" s="3211"/>
      <c r="LV9" s="3211"/>
      <c r="LW9" s="3211"/>
      <c r="LX9" s="3211"/>
      <c r="LY9" s="3211"/>
      <c r="LZ9" s="3211"/>
      <c r="MA9" s="3211"/>
      <c r="MB9" s="3211"/>
      <c r="MC9" s="3211"/>
      <c r="MD9" s="3211"/>
      <c r="ME9" s="3211"/>
      <c r="MF9" s="3211"/>
      <c r="MG9" s="3211"/>
      <c r="MH9" s="3211"/>
      <c r="MI9" s="3211"/>
      <c r="MJ9" s="3226"/>
      <c r="MK9" s="3226"/>
      <c r="ML9" s="3226"/>
      <c r="MM9" s="3226"/>
      <c r="MN9" s="3226"/>
      <c r="MO9" s="3211"/>
      <c r="MP9" s="3211"/>
      <c r="MQ9" s="3211"/>
      <c r="MR9" s="3211"/>
      <c r="MS9" s="3211"/>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360" t="s">
        <v>4285</v>
      </c>
      <c r="C10" s="2361"/>
      <c r="D10" s="2362"/>
      <c r="E10" s="2363"/>
      <c r="F10" s="2363"/>
      <c r="G10" s="2363"/>
      <c r="H10" s="2363"/>
      <c r="I10" s="2364">
        <f>IF(C10="",0,HLOOKUP(C10,'Part V-Utility Allowances'!$I$11:$M$22,12))</f>
        <v>0</v>
      </c>
      <c r="J10" s="2365"/>
      <c r="K10" s="592">
        <f t="shared" ref="K10:K47" si="1">MAX(0,H10-I10)</f>
        <v>0</v>
      </c>
      <c r="L10" s="592">
        <f t="shared" ref="L10:L47" si="2">MAX(0,E10*K10)</f>
        <v>0</v>
      </c>
      <c r="M10" s="2366"/>
      <c r="N10" s="2366"/>
      <c r="O10" s="2366"/>
      <c r="P10" s="2367"/>
      <c r="Q10" s="2368" t="str">
        <f t="shared" ref="Q10:Q47" si="3">IF(H10="","",H10*12/0.3)</f>
        <v/>
      </c>
      <c r="R10" s="2369" t="str">
        <f>IF(H10="","",IF(C10="Efficiency",Q10/($O$6*VLOOKUP(0,'DCA Underwriting Assumptions'!$J$146:$K$151,2,FALSE)),Q10/($O$6*VLOOKUP(C10,'DCA Underwriting Assumptions'!$J$146:$K$151,2,FALSE))))</f>
        <v/>
      </c>
      <c r="S10" s="2370"/>
      <c r="T10" s="2371"/>
      <c r="U10" s="3155"/>
      <c r="V10" s="3157"/>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372" t="s">
        <v>4285</v>
      </c>
      <c r="C11" s="2373"/>
      <c r="D11" s="2374"/>
      <c r="E11" s="2375"/>
      <c r="F11" s="2375"/>
      <c r="G11" s="2375"/>
      <c r="H11" s="2375"/>
      <c r="I11" s="2376">
        <f>IF(C11="",0,HLOOKUP(C11,'Part V-Utility Allowances'!$I$11:$M$22,12))</f>
        <v>0</v>
      </c>
      <c r="J11" s="2377"/>
      <c r="K11" s="593">
        <f t="shared" si="1"/>
        <v>0</v>
      </c>
      <c r="L11" s="593">
        <f t="shared" si="2"/>
        <v>0</v>
      </c>
      <c r="M11" s="2378"/>
      <c r="N11" s="2378"/>
      <c r="O11" s="2378"/>
      <c r="P11" s="2379"/>
      <c r="Q11" s="2380" t="str">
        <f t="shared" si="3"/>
        <v/>
      </c>
      <c r="R11" s="2381" t="str">
        <f>IF(H11="","",IF(C11="Efficiency",Q11/($O$6*VLOOKUP(0,'DCA Underwriting Assumptions'!$J$146:$K$151,2,FALSE)),Q11/($O$6*VLOOKUP(C11,'DCA Underwriting Assumptions'!$J$146:$K$151,2,FALSE))))</f>
        <v/>
      </c>
      <c r="S11" s="2382"/>
      <c r="T11" s="2383"/>
      <c r="U11" s="3160"/>
      <c r="V11" s="3162"/>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f t="shared" si="0"/>
        <v>1</v>
      </c>
      <c r="B12" s="2372" t="s">
        <v>300</v>
      </c>
      <c r="C12" s="2373">
        <v>1</v>
      </c>
      <c r="D12" s="2374">
        <v>1</v>
      </c>
      <c r="E12" s="2375">
        <v>4</v>
      </c>
      <c r="F12" s="2375">
        <v>710</v>
      </c>
      <c r="G12" s="2375"/>
      <c r="H12" s="2375">
        <v>900</v>
      </c>
      <c r="I12" s="2376">
        <v>0</v>
      </c>
      <c r="J12" s="2377"/>
      <c r="K12" s="593">
        <f t="shared" si="1"/>
        <v>900</v>
      </c>
      <c r="L12" s="593">
        <f t="shared" si="2"/>
        <v>3600</v>
      </c>
      <c r="M12" s="2378" t="s">
        <v>2936</v>
      </c>
      <c r="N12" s="2378" t="s">
        <v>4886</v>
      </c>
      <c r="O12" s="2378" t="s">
        <v>2266</v>
      </c>
      <c r="P12" s="2379" t="s">
        <v>2936</v>
      </c>
      <c r="Q12" s="2380">
        <f t="shared" si="3"/>
        <v>36000</v>
      </c>
      <c r="R12" s="2381">
        <f>IF(H12="","",IF(C12="Efficiency",Q12/($O$6*VLOOKUP(0,'DCA Underwriting Assumptions'!$J$146:$K$151,2,FALSE)),Q12/($O$6*VLOOKUP(C12,'DCA Underwriting Assumptions'!$J$146:$K$151,2,FALSE))))</f>
        <v>0.64171122994652408</v>
      </c>
      <c r="S12" s="2382"/>
      <c r="T12" s="2383"/>
      <c r="U12" s="3160"/>
      <c r="V12" s="3162"/>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f t="shared" si="40"/>
        <v>4</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f t="shared" si="144"/>
        <v>2840</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f t="shared" si="164"/>
        <v>4</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f t="shared" si="204"/>
        <v>4</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f t="shared" si="269"/>
        <v>4</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4</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f t="shared" si="0"/>
        <v>1</v>
      </c>
      <c r="B13" s="2372" t="s">
        <v>300</v>
      </c>
      <c r="C13" s="2373">
        <v>2</v>
      </c>
      <c r="D13" s="2374">
        <v>1</v>
      </c>
      <c r="E13" s="2375">
        <v>7</v>
      </c>
      <c r="F13" s="2375">
        <v>950</v>
      </c>
      <c r="G13" s="2375"/>
      <c r="H13" s="2375">
        <v>1050</v>
      </c>
      <c r="I13" s="2376">
        <v>0</v>
      </c>
      <c r="J13" s="2377"/>
      <c r="K13" s="593">
        <f t="shared" si="1"/>
        <v>1050</v>
      </c>
      <c r="L13" s="593">
        <f t="shared" si="2"/>
        <v>7350</v>
      </c>
      <c r="M13" s="2378" t="s">
        <v>2936</v>
      </c>
      <c r="N13" s="2378" t="s">
        <v>4886</v>
      </c>
      <c r="O13" s="2378" t="s">
        <v>2266</v>
      </c>
      <c r="P13" s="2379" t="s">
        <v>2936</v>
      </c>
      <c r="Q13" s="2380">
        <f t="shared" si="3"/>
        <v>42000</v>
      </c>
      <c r="R13" s="2381">
        <f>IF(H13="","",IF(C13="Efficiency",Q13/($O$6*VLOOKUP(0,'DCA Underwriting Assumptions'!$J$146:$K$151,2,FALSE)),Q13/($O$6*VLOOKUP(C13,'DCA Underwriting Assumptions'!$J$146:$K$151,2,FALSE))))</f>
        <v>0.62388591800356508</v>
      </c>
      <c r="S13" s="2382"/>
      <c r="T13" s="2383"/>
      <c r="U13" s="3160"/>
      <c r="V13" s="3162"/>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f t="shared" si="41"/>
        <v>7</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f t="shared" si="145"/>
        <v>6650</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f t="shared" si="165"/>
        <v>7</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f t="shared" si="205"/>
        <v>7</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f t="shared" si="270"/>
        <v>7</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7</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f t="shared" si="0"/>
        <v>1</v>
      </c>
      <c r="B14" s="2372" t="s">
        <v>300</v>
      </c>
      <c r="C14" s="2373">
        <v>3</v>
      </c>
      <c r="D14" s="2374">
        <v>2</v>
      </c>
      <c r="E14" s="2375">
        <v>2</v>
      </c>
      <c r="F14" s="2375">
        <v>1200</v>
      </c>
      <c r="G14" s="2375"/>
      <c r="H14" s="2375">
        <v>1115</v>
      </c>
      <c r="I14" s="2376">
        <v>0</v>
      </c>
      <c r="J14" s="2377"/>
      <c r="K14" s="593">
        <f t="shared" si="1"/>
        <v>1115</v>
      </c>
      <c r="L14" s="593">
        <f t="shared" si="2"/>
        <v>2230</v>
      </c>
      <c r="M14" s="2378" t="s">
        <v>2936</v>
      </c>
      <c r="N14" s="2378" t="s">
        <v>4886</v>
      </c>
      <c r="O14" s="2378" t="s">
        <v>2266</v>
      </c>
      <c r="P14" s="2379" t="s">
        <v>2936</v>
      </c>
      <c r="Q14" s="2380">
        <f t="shared" si="3"/>
        <v>44600</v>
      </c>
      <c r="R14" s="2381">
        <f>IF(H14="","",IF(C14="Efficiency",Q14/($O$6*VLOOKUP(0,'DCA Underwriting Assumptions'!$J$146:$K$151,2,FALSE)),Q14/($O$6*VLOOKUP(C14,'DCA Underwriting Assumptions'!$J$146:$K$151,2,FALSE))))</f>
        <v>0.57332373508844092</v>
      </c>
      <c r="S14" s="2382"/>
      <c r="T14" s="2383"/>
      <c r="U14" s="3160"/>
      <c r="V14" s="3162"/>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f t="shared" si="42"/>
        <v>2</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f t="shared" si="146"/>
        <v>2400</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f t="shared" si="166"/>
        <v>2</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f t="shared" si="206"/>
        <v>2</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f t="shared" si="271"/>
        <v>2</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2</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372" t="s">
        <v>300</v>
      </c>
      <c r="C15" s="2373"/>
      <c r="D15" s="2374"/>
      <c r="E15" s="2375"/>
      <c r="F15" s="2375"/>
      <c r="G15" s="2375"/>
      <c r="H15" s="2375"/>
      <c r="I15" s="2376">
        <f>IF(C15="",0,HLOOKUP(C15,'Part V-Utility Allowances'!$I$11:$M$22,12))</f>
        <v>0</v>
      </c>
      <c r="J15" s="2377"/>
      <c r="K15" s="593">
        <f t="shared" si="1"/>
        <v>0</v>
      </c>
      <c r="L15" s="593">
        <f t="shared" si="2"/>
        <v>0</v>
      </c>
      <c r="M15" s="2378"/>
      <c r="N15" s="2378"/>
      <c r="O15" s="2378"/>
      <c r="P15" s="2379"/>
      <c r="Q15" s="2380" t="str">
        <f t="shared" si="3"/>
        <v/>
      </c>
      <c r="R15" s="2381" t="str">
        <f>IF(H15="","",IF(C15="Efficiency",Q15/($O$6*VLOOKUP(0,'DCA Underwriting Assumptions'!$J$146:$K$151,2,FALSE)),Q15/($O$6*VLOOKUP(C15,'DCA Underwriting Assumptions'!$J$146:$K$151,2,FALSE))))</f>
        <v/>
      </c>
      <c r="S15" s="2382"/>
      <c r="T15" s="2383"/>
      <c r="U15" s="3160"/>
      <c r="V15" s="3162"/>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384" t="s">
        <v>300</v>
      </c>
      <c r="C16" s="2385"/>
      <c r="D16" s="2386"/>
      <c r="E16" s="2387"/>
      <c r="F16" s="2387"/>
      <c r="G16" s="2387"/>
      <c r="H16" s="2387"/>
      <c r="I16" s="2388">
        <f>IF(C16="",0,HLOOKUP(C16,'Part V-Utility Allowances'!$I$11:$M$22,12))</f>
        <v>0</v>
      </c>
      <c r="J16" s="2389"/>
      <c r="K16" s="1425">
        <f t="shared" si="1"/>
        <v>0</v>
      </c>
      <c r="L16" s="1425">
        <f t="shared" si="2"/>
        <v>0</v>
      </c>
      <c r="M16" s="2390"/>
      <c r="N16" s="2390"/>
      <c r="O16" s="2390"/>
      <c r="P16" s="2391"/>
      <c r="Q16" s="2380" t="str">
        <f t="shared" si="3"/>
        <v/>
      </c>
      <c r="R16" s="2381" t="str">
        <f>IF(H16="","",IF(C16="Efficiency",Q16/($O$6*VLOOKUP(0,'DCA Underwriting Assumptions'!$J$146:$K$151,2,FALSE)),Q16/($O$6*VLOOKUP(C16,'DCA Underwriting Assumptions'!$J$146:$K$151,2,FALSE))))</f>
        <v/>
      </c>
      <c r="S16" s="2382"/>
      <c r="T16" s="2383"/>
      <c r="U16" s="3160"/>
      <c r="V16" s="3162"/>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392">
        <v>50</v>
      </c>
      <c r="C17" s="2393">
        <v>1</v>
      </c>
      <c r="D17" s="2394">
        <v>1</v>
      </c>
      <c r="E17" s="2395">
        <v>7</v>
      </c>
      <c r="F17" s="2395">
        <v>710</v>
      </c>
      <c r="G17" s="2395">
        <v>701</v>
      </c>
      <c r="H17" s="2395">
        <v>701</v>
      </c>
      <c r="I17" s="2396">
        <f>IF(C17="",0,HLOOKUP(C17,'Part V-Utility Allowances'!$I$11:$M$22,12))</f>
        <v>157</v>
      </c>
      <c r="J17" s="2397"/>
      <c r="K17" s="1424">
        <f t="shared" si="1"/>
        <v>544</v>
      </c>
      <c r="L17" s="1424">
        <f t="shared" si="2"/>
        <v>3808</v>
      </c>
      <c r="M17" s="2398" t="s">
        <v>2936</v>
      </c>
      <c r="N17" s="2398" t="s">
        <v>4886</v>
      </c>
      <c r="O17" s="2398" t="s">
        <v>2266</v>
      </c>
      <c r="P17" s="2399" t="s">
        <v>2936</v>
      </c>
      <c r="Q17" s="2380">
        <f t="shared" si="3"/>
        <v>28040</v>
      </c>
      <c r="R17" s="2381">
        <f>IF(H17="","",IF(C17="Efficiency",Q17/($O$6*VLOOKUP(0,'DCA Underwriting Assumptions'!$J$146:$K$151,2,FALSE)),Q17/($O$6*VLOOKUP(C17,'DCA Underwriting Assumptions'!$J$146:$K$151,2,FALSE))))</f>
        <v>0.49982174688057041</v>
      </c>
      <c r="S17" s="2382"/>
      <c r="T17" s="2383"/>
      <c r="U17" s="3160"/>
      <c r="V17" s="3162"/>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7</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4970</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7</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7</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f t="shared" si="269"/>
        <v>7</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7</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400">
        <v>50</v>
      </c>
      <c r="C18" s="2373">
        <v>2</v>
      </c>
      <c r="D18" s="2374">
        <v>1</v>
      </c>
      <c r="E18" s="2375">
        <v>8</v>
      </c>
      <c r="F18" s="2375">
        <v>950</v>
      </c>
      <c r="G18" s="2375">
        <v>842</v>
      </c>
      <c r="H18" s="2375">
        <v>842</v>
      </c>
      <c r="I18" s="2376">
        <f>IF(C18="",0,HLOOKUP(C18,'Part V-Utility Allowances'!$I$11:$M$22,12))</f>
        <v>226</v>
      </c>
      <c r="J18" s="2377"/>
      <c r="K18" s="593">
        <f t="shared" si="1"/>
        <v>616</v>
      </c>
      <c r="L18" s="593">
        <f t="shared" si="2"/>
        <v>4928</v>
      </c>
      <c r="M18" s="2378" t="s">
        <v>2936</v>
      </c>
      <c r="N18" s="2378" t="s">
        <v>4886</v>
      </c>
      <c r="O18" s="2378" t="s">
        <v>2266</v>
      </c>
      <c r="P18" s="2379" t="s">
        <v>2936</v>
      </c>
      <c r="Q18" s="2380">
        <f t="shared" si="3"/>
        <v>33680</v>
      </c>
      <c r="R18" s="2381">
        <f>IF(H18="","",IF(C18="Efficiency",Q18/($O$6*VLOOKUP(0,'DCA Underwriting Assumptions'!$J$146:$K$151,2,FALSE)),Q18/($O$6*VLOOKUP(C18,'DCA Underwriting Assumptions'!$J$146:$K$151,2,FALSE))))</f>
        <v>0.50029708853238264</v>
      </c>
      <c r="S18" s="2382"/>
      <c r="T18" s="2383"/>
      <c r="U18" s="3160"/>
      <c r="V18" s="3162"/>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f t="shared" si="21"/>
        <v>8</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f t="shared" si="316"/>
        <v>7600</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8</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8</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f t="shared" si="270"/>
        <v>8</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8</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400">
        <v>50</v>
      </c>
      <c r="C19" s="2373">
        <v>3</v>
      </c>
      <c r="D19" s="2374">
        <v>2</v>
      </c>
      <c r="E19" s="2375">
        <v>2</v>
      </c>
      <c r="F19" s="2375">
        <v>1200</v>
      </c>
      <c r="G19" s="2375">
        <v>972</v>
      </c>
      <c r="H19" s="2375">
        <v>972</v>
      </c>
      <c r="I19" s="2376">
        <f>IF(C19="",0,HLOOKUP(C19,'Part V-Utility Allowances'!$I$11:$M$22,12))</f>
        <v>300</v>
      </c>
      <c r="J19" s="2377"/>
      <c r="K19" s="593">
        <f t="shared" si="1"/>
        <v>672</v>
      </c>
      <c r="L19" s="593">
        <f t="shared" si="2"/>
        <v>1344</v>
      </c>
      <c r="M19" s="2378" t="s">
        <v>2936</v>
      </c>
      <c r="N19" s="2378" t="s">
        <v>4886</v>
      </c>
      <c r="O19" s="2378" t="s">
        <v>2266</v>
      </c>
      <c r="P19" s="2379" t="s">
        <v>2936</v>
      </c>
      <c r="Q19" s="2380">
        <f t="shared" si="3"/>
        <v>38880</v>
      </c>
      <c r="R19" s="2381">
        <f>IF(H19="","",IF(C19="Efficiency",Q19/($O$6*VLOOKUP(0,'DCA Underwriting Assumptions'!$J$146:$K$151,2,FALSE)),Q19/($O$6*VLOOKUP(C19,'DCA Underwriting Assumptions'!$J$146:$K$151,2,FALSE))))</f>
        <v>0.49979432332373508</v>
      </c>
      <c r="S19" s="2382"/>
      <c r="T19" s="2383"/>
      <c r="U19" s="3160"/>
      <c r="V19" s="3162"/>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t="str">
        <f t="shared" si="21"/>
        <v/>
      </c>
      <c r="AO19" s="448">
        <f t="shared" si="22"/>
        <v>2</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t="str">
        <f t="shared" si="316"/>
        <v/>
      </c>
      <c r="EZ19" s="448">
        <f t="shared" si="317"/>
        <v>2400</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t="str">
        <f t="shared" si="160"/>
        <v/>
      </c>
      <c r="GI19" s="448">
        <f t="shared" si="161"/>
        <v>2</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t="str">
        <f t="shared" si="205"/>
        <v/>
      </c>
      <c r="IB19" s="454">
        <f t="shared" si="206"/>
        <v>2</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f t="shared" si="271"/>
        <v>2</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0</v>
      </c>
      <c r="MM19" s="453">
        <f t="shared" si="332"/>
        <v>2</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400">
        <v>60</v>
      </c>
      <c r="C20" s="2373">
        <v>1</v>
      </c>
      <c r="D20" s="2374">
        <v>1</v>
      </c>
      <c r="E20" s="2375">
        <v>21</v>
      </c>
      <c r="F20" s="2375">
        <v>710</v>
      </c>
      <c r="G20" s="2375">
        <v>842</v>
      </c>
      <c r="H20" s="2375">
        <v>842</v>
      </c>
      <c r="I20" s="2376">
        <f>IF(C20="",0,HLOOKUP(C20,'Part V-Utility Allowances'!$I$11:$M$22,12))</f>
        <v>157</v>
      </c>
      <c r="J20" s="2377"/>
      <c r="K20" s="593">
        <f t="shared" si="1"/>
        <v>685</v>
      </c>
      <c r="L20" s="593">
        <f t="shared" si="2"/>
        <v>14385</v>
      </c>
      <c r="M20" s="2378" t="s">
        <v>2936</v>
      </c>
      <c r="N20" s="2378" t="s">
        <v>4886</v>
      </c>
      <c r="O20" s="2378" t="s">
        <v>2266</v>
      </c>
      <c r="P20" s="2379" t="s">
        <v>2936</v>
      </c>
      <c r="Q20" s="2380">
        <f t="shared" si="3"/>
        <v>33680</v>
      </c>
      <c r="R20" s="2381">
        <f>IF(H20="","",IF(C20="Efficiency",Q20/($O$6*VLOOKUP(0,'DCA Underwriting Assumptions'!$J$146:$K$151,2,FALSE)),Q20/($O$6*VLOOKUP(C20,'DCA Underwriting Assumptions'!$J$146:$K$151,2,FALSE))))</f>
        <v>0.60035650623885917</v>
      </c>
      <c r="S20" s="2382"/>
      <c r="T20" s="2383"/>
      <c r="U20" s="3160"/>
      <c r="V20" s="3162"/>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f t="shared" si="15"/>
        <v>21</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f t="shared" si="129"/>
        <v>14910</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f t="shared" si="159"/>
        <v>21</v>
      </c>
      <c r="GH20" s="448" t="str">
        <f t="shared" si="160"/>
        <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f t="shared" si="204"/>
        <v>21</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f t="shared" si="269"/>
        <v>21</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21</v>
      </c>
      <c r="ML20" s="453">
        <f t="shared" si="331"/>
        <v>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400">
        <v>60</v>
      </c>
      <c r="C21" s="2373">
        <v>2</v>
      </c>
      <c r="D21" s="2374">
        <v>1</v>
      </c>
      <c r="E21" s="2375">
        <v>27</v>
      </c>
      <c r="F21" s="2375">
        <v>950</v>
      </c>
      <c r="G21" s="2375">
        <v>1011</v>
      </c>
      <c r="H21" s="2375">
        <v>1011</v>
      </c>
      <c r="I21" s="2376">
        <f>IF(C21="",0,HLOOKUP(C21,'Part V-Utility Allowances'!$I$11:$M$22,12))</f>
        <v>226</v>
      </c>
      <c r="J21" s="2377"/>
      <c r="K21" s="593">
        <f t="shared" si="1"/>
        <v>785</v>
      </c>
      <c r="L21" s="593">
        <f t="shared" si="2"/>
        <v>21195</v>
      </c>
      <c r="M21" s="2378" t="s">
        <v>2936</v>
      </c>
      <c r="N21" s="2378" t="s">
        <v>4886</v>
      </c>
      <c r="O21" s="2378" t="s">
        <v>2266</v>
      </c>
      <c r="P21" s="2379" t="s">
        <v>2936</v>
      </c>
      <c r="Q21" s="2380">
        <f t="shared" si="3"/>
        <v>40440</v>
      </c>
      <c r="R21" s="2381">
        <f>IF(H21="","",IF(C21="Efficiency",Q21/($O$6*VLOOKUP(0,'DCA Underwriting Assumptions'!$J$146:$K$151,2,FALSE)),Q21/($O$6*VLOOKUP(C21,'DCA Underwriting Assumptions'!$J$146:$K$151,2,FALSE))))</f>
        <v>0.60071301247771836</v>
      </c>
      <c r="S21" s="2382"/>
      <c r="T21" s="2383"/>
      <c r="U21" s="3160"/>
      <c r="V21" s="3162"/>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f t="shared" si="16"/>
        <v>27</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f t="shared" si="130"/>
        <v>25650</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27</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f t="shared" si="205"/>
        <v>27</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f t="shared" si="270"/>
        <v>27</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27</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400">
        <v>60</v>
      </c>
      <c r="C22" s="2373">
        <v>3</v>
      </c>
      <c r="D22" s="2374">
        <v>2</v>
      </c>
      <c r="E22" s="2375">
        <v>6</v>
      </c>
      <c r="F22" s="2375">
        <v>1200</v>
      </c>
      <c r="G22" s="2375">
        <v>1167</v>
      </c>
      <c r="H22" s="2375">
        <v>1167</v>
      </c>
      <c r="I22" s="2376">
        <f>IF(C22="",0,HLOOKUP(C22,'Part V-Utility Allowances'!$I$11:$M$22,12))</f>
        <v>300</v>
      </c>
      <c r="J22" s="2377"/>
      <c r="K22" s="593">
        <f t="shared" si="1"/>
        <v>867</v>
      </c>
      <c r="L22" s="593">
        <f t="shared" si="2"/>
        <v>5202</v>
      </c>
      <c r="M22" s="2378" t="s">
        <v>2936</v>
      </c>
      <c r="N22" s="2378" t="s">
        <v>4886</v>
      </c>
      <c r="O22" s="2378" t="s">
        <v>2266</v>
      </c>
      <c r="P22" s="2379" t="s">
        <v>2936</v>
      </c>
      <c r="Q22" s="2380">
        <f t="shared" si="3"/>
        <v>46680</v>
      </c>
      <c r="R22" s="2381">
        <f>IF(H22="","",IF(C22="Efficiency",Q22/($O$6*VLOOKUP(0,'DCA Underwriting Assumptions'!$J$146:$K$151,2,FALSE)),Q22/($O$6*VLOOKUP(C22,'DCA Underwriting Assumptions'!$J$146:$K$151,2,FALSE))))</f>
        <v>0.60006170300287942</v>
      </c>
      <c r="S22" s="2382"/>
      <c r="T22" s="2383"/>
      <c r="U22" s="3160"/>
      <c r="V22" s="3162"/>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f t="shared" si="17"/>
        <v>6</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f t="shared" si="131"/>
        <v>7200</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f t="shared" si="161"/>
        <v>6</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f t="shared" si="206"/>
        <v>6</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f t="shared" si="271"/>
        <v>6</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6</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400"/>
      <c r="C23" s="2373"/>
      <c r="D23" s="2374"/>
      <c r="E23" s="2375"/>
      <c r="F23" s="2375"/>
      <c r="G23" s="2375"/>
      <c r="H23" s="2375"/>
      <c r="I23" s="2376">
        <f>IF(C23="",0,HLOOKUP(C23,'Part V-Utility Allowances'!$I$11:$M$22,12))</f>
        <v>0</v>
      </c>
      <c r="J23" s="2377"/>
      <c r="K23" s="593">
        <f t="shared" si="1"/>
        <v>0</v>
      </c>
      <c r="L23" s="593">
        <f t="shared" si="2"/>
        <v>0</v>
      </c>
      <c r="M23" s="2378"/>
      <c r="N23" s="2378"/>
      <c r="O23" s="2378"/>
      <c r="P23" s="2379"/>
      <c r="Q23" s="2380" t="str">
        <f t="shared" si="3"/>
        <v/>
      </c>
      <c r="R23" s="2381" t="str">
        <f>IF(H23="","",IF(C23="Efficiency",Q23/($O$6*VLOOKUP(0,'DCA Underwriting Assumptions'!$J$146:$K$151,2,FALSE)),Q23/($O$6*VLOOKUP(C23,'DCA Underwriting Assumptions'!$J$146:$K$151,2,FALSE))))</f>
        <v/>
      </c>
      <c r="S23" s="2382"/>
      <c r="T23" s="2383"/>
      <c r="U23" s="3160"/>
      <c r="V23" s="3162"/>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400"/>
      <c r="C24" s="2373"/>
      <c r="D24" s="2374"/>
      <c r="E24" s="2375"/>
      <c r="F24" s="2375"/>
      <c r="G24" s="2375"/>
      <c r="H24" s="2375"/>
      <c r="I24" s="2376">
        <f>IF(C24="",0,HLOOKUP(C24,'Part V-Utility Allowances'!$I$11:$M$22,12))</f>
        <v>0</v>
      </c>
      <c r="J24" s="2377"/>
      <c r="K24" s="593">
        <f t="shared" si="1"/>
        <v>0</v>
      </c>
      <c r="L24" s="593">
        <f t="shared" si="2"/>
        <v>0</v>
      </c>
      <c r="M24" s="2378"/>
      <c r="N24" s="2378"/>
      <c r="O24" s="2378"/>
      <c r="P24" s="2379"/>
      <c r="Q24" s="2380" t="str">
        <f t="shared" si="3"/>
        <v/>
      </c>
      <c r="R24" s="2381" t="str">
        <f>IF(H24="","",IF(C24="Efficiency",Q24/($O$6*VLOOKUP(0,'DCA Underwriting Assumptions'!$J$146:$K$151,2,FALSE)),Q24/($O$6*VLOOKUP(C24,'DCA Underwriting Assumptions'!$J$146:$K$151,2,FALSE))))</f>
        <v/>
      </c>
      <c r="S24" s="2382"/>
      <c r="T24" s="2383"/>
      <c r="U24" s="3160"/>
      <c r="V24" s="3162"/>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400"/>
      <c r="C25" s="2373"/>
      <c r="D25" s="2374"/>
      <c r="E25" s="2375"/>
      <c r="F25" s="2375"/>
      <c r="G25" s="2375"/>
      <c r="H25" s="2375"/>
      <c r="I25" s="2376">
        <f>IF(C25="",0,HLOOKUP(C25,'Part V-Utility Allowances'!$I$11:$M$22,12))</f>
        <v>0</v>
      </c>
      <c r="J25" s="2377"/>
      <c r="K25" s="593">
        <f t="shared" si="1"/>
        <v>0</v>
      </c>
      <c r="L25" s="593">
        <f t="shared" si="2"/>
        <v>0</v>
      </c>
      <c r="M25" s="2378"/>
      <c r="N25" s="2378"/>
      <c r="O25" s="2378"/>
      <c r="P25" s="2379"/>
      <c r="Q25" s="2380" t="str">
        <f t="shared" si="3"/>
        <v/>
      </c>
      <c r="R25" s="2381" t="str">
        <f>IF(H25="","",IF(C25="Efficiency",Q25/($O$6*VLOOKUP(0,'DCA Underwriting Assumptions'!$J$146:$K$151,2,FALSE)),Q25/($O$6*VLOOKUP(C25,'DCA Underwriting Assumptions'!$J$146:$K$151,2,FALSE))))</f>
        <v/>
      </c>
      <c r="S25" s="2382"/>
      <c r="T25" s="2383"/>
      <c r="U25" s="3160"/>
      <c r="V25" s="3162"/>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400"/>
      <c r="C26" s="2373"/>
      <c r="D26" s="2374"/>
      <c r="E26" s="2375"/>
      <c r="F26" s="2375"/>
      <c r="G26" s="2375"/>
      <c r="H26" s="2375"/>
      <c r="I26" s="2376">
        <f>IF(C26="",0,HLOOKUP(C26,'Part V-Utility Allowances'!$I$11:$M$22,12))</f>
        <v>0</v>
      </c>
      <c r="J26" s="2377"/>
      <c r="K26" s="593">
        <f t="shared" si="1"/>
        <v>0</v>
      </c>
      <c r="L26" s="593">
        <f t="shared" si="2"/>
        <v>0</v>
      </c>
      <c r="M26" s="2378"/>
      <c r="N26" s="2378"/>
      <c r="O26" s="2378"/>
      <c r="P26" s="2379"/>
      <c r="Q26" s="2380" t="str">
        <f t="shared" si="3"/>
        <v/>
      </c>
      <c r="R26" s="2381" t="str">
        <f>IF(H26="","",IF(C26="Efficiency",Q26/($O$6*VLOOKUP(0,'DCA Underwriting Assumptions'!$J$146:$K$151,2,FALSE)),Q26/($O$6*VLOOKUP(C26,'DCA Underwriting Assumptions'!$J$146:$K$151,2,FALSE))))</f>
        <v/>
      </c>
      <c r="S26" s="2382"/>
      <c r="T26" s="2383"/>
      <c r="U26" s="3160"/>
      <c r="V26" s="3162"/>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400"/>
      <c r="C27" s="2373"/>
      <c r="D27" s="2374"/>
      <c r="E27" s="2375"/>
      <c r="F27" s="2375"/>
      <c r="G27" s="2375"/>
      <c r="H27" s="2375"/>
      <c r="I27" s="2376">
        <f>IF(C27="",0,HLOOKUP(C27,'Part V-Utility Allowances'!$I$11:$M$22,12))</f>
        <v>0</v>
      </c>
      <c r="J27" s="2377"/>
      <c r="K27" s="593">
        <f t="shared" si="1"/>
        <v>0</v>
      </c>
      <c r="L27" s="593">
        <f t="shared" si="2"/>
        <v>0</v>
      </c>
      <c r="M27" s="2378"/>
      <c r="N27" s="2378"/>
      <c r="O27" s="2378"/>
      <c r="P27" s="2379"/>
      <c r="Q27" s="2380" t="str">
        <f t="shared" si="3"/>
        <v/>
      </c>
      <c r="R27" s="2381" t="str">
        <f>IF(H27="","",IF(C27="Efficiency",Q27/($O$6*VLOOKUP(0,'DCA Underwriting Assumptions'!$J$146:$K$151,2,FALSE)),Q27/($O$6*VLOOKUP(C27,'DCA Underwriting Assumptions'!$J$146:$K$151,2,FALSE))))</f>
        <v/>
      </c>
      <c r="S27" s="2382"/>
      <c r="T27" s="2383"/>
      <c r="U27" s="3160"/>
      <c r="V27" s="3162"/>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400"/>
      <c r="C28" s="2373"/>
      <c r="D28" s="2374"/>
      <c r="E28" s="2375"/>
      <c r="F28" s="2375"/>
      <c r="G28" s="2375"/>
      <c r="H28" s="2375"/>
      <c r="I28" s="2376">
        <f>IF(C28="",0,HLOOKUP(C28,'Part V-Utility Allowances'!$I$11:$M$22,12))</f>
        <v>0</v>
      </c>
      <c r="J28" s="2377"/>
      <c r="K28" s="593">
        <f t="shared" si="1"/>
        <v>0</v>
      </c>
      <c r="L28" s="593">
        <f t="shared" si="2"/>
        <v>0</v>
      </c>
      <c r="M28" s="2378"/>
      <c r="N28" s="2378"/>
      <c r="O28" s="2378"/>
      <c r="P28" s="2379"/>
      <c r="Q28" s="2380" t="str">
        <f t="shared" si="3"/>
        <v/>
      </c>
      <c r="R28" s="2381" t="str">
        <f>IF(H28="","",IF(C28="Efficiency",Q28/($O$6*VLOOKUP(0,'DCA Underwriting Assumptions'!$J$146:$K$151,2,FALSE)),Q28/($O$6*VLOOKUP(C28,'DCA Underwriting Assumptions'!$J$146:$K$151,2,FALSE))))</f>
        <v/>
      </c>
      <c r="S28" s="2382"/>
      <c r="T28" s="2383"/>
      <c r="U28" s="3160"/>
      <c r="V28" s="3162"/>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400"/>
      <c r="C29" s="2373"/>
      <c r="D29" s="2374"/>
      <c r="E29" s="2375"/>
      <c r="F29" s="2375"/>
      <c r="G29" s="2375"/>
      <c r="H29" s="2375"/>
      <c r="I29" s="2376">
        <f>IF(C29="",0,HLOOKUP(C29,'Part V-Utility Allowances'!$I$11:$M$22,12))</f>
        <v>0</v>
      </c>
      <c r="J29" s="2377"/>
      <c r="K29" s="593">
        <f t="shared" si="1"/>
        <v>0</v>
      </c>
      <c r="L29" s="593">
        <f t="shared" si="2"/>
        <v>0</v>
      </c>
      <c r="M29" s="2378"/>
      <c r="N29" s="2378"/>
      <c r="O29" s="2378"/>
      <c r="P29" s="2379"/>
      <c r="Q29" s="2380" t="str">
        <f t="shared" si="3"/>
        <v/>
      </c>
      <c r="R29" s="2381" t="str">
        <f>IF(H29="","",IF(C29="Efficiency",Q29/($O$6*VLOOKUP(0,'DCA Underwriting Assumptions'!$J$146:$K$151,2,FALSE)),Q29/($O$6*VLOOKUP(C29,'DCA Underwriting Assumptions'!$J$146:$K$151,2,FALSE))))</f>
        <v/>
      </c>
      <c r="S29" s="2382"/>
      <c r="T29" s="2383"/>
      <c r="U29" s="3160"/>
      <c r="V29" s="3162"/>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400"/>
      <c r="C30" s="2373"/>
      <c r="D30" s="2374"/>
      <c r="E30" s="2375"/>
      <c r="F30" s="2375"/>
      <c r="G30" s="2375"/>
      <c r="H30" s="2375"/>
      <c r="I30" s="2376">
        <f>IF(C30="",0,HLOOKUP(C30,'Part V-Utility Allowances'!$I$11:$M$22,12))</f>
        <v>0</v>
      </c>
      <c r="J30" s="2377"/>
      <c r="K30" s="593">
        <f t="shared" si="1"/>
        <v>0</v>
      </c>
      <c r="L30" s="593">
        <f t="shared" si="2"/>
        <v>0</v>
      </c>
      <c r="M30" s="2378"/>
      <c r="N30" s="2378"/>
      <c r="O30" s="2378"/>
      <c r="P30" s="2379"/>
      <c r="Q30" s="2380" t="str">
        <f t="shared" si="3"/>
        <v/>
      </c>
      <c r="R30" s="2381" t="str">
        <f>IF(H30="","",IF(C30="Efficiency",Q30/($O$6*VLOOKUP(0,'DCA Underwriting Assumptions'!$J$146:$K$151,2,FALSE)),Q30/($O$6*VLOOKUP(C30,'DCA Underwriting Assumptions'!$J$146:$K$151,2,FALSE))))</f>
        <v/>
      </c>
      <c r="S30" s="2382"/>
      <c r="T30" s="2383"/>
      <c r="U30" s="3160"/>
      <c r="V30" s="3162"/>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400"/>
      <c r="C31" s="2373"/>
      <c r="D31" s="2374"/>
      <c r="E31" s="2375"/>
      <c r="F31" s="2375"/>
      <c r="G31" s="2375"/>
      <c r="H31" s="2375"/>
      <c r="I31" s="2376">
        <f>IF(C31="",0,HLOOKUP(C31,'Part V-Utility Allowances'!$I$11:$M$22,12))</f>
        <v>0</v>
      </c>
      <c r="J31" s="2377"/>
      <c r="K31" s="593">
        <f t="shared" si="1"/>
        <v>0</v>
      </c>
      <c r="L31" s="593">
        <f t="shared" si="2"/>
        <v>0</v>
      </c>
      <c r="M31" s="2378"/>
      <c r="N31" s="2378"/>
      <c r="O31" s="2378"/>
      <c r="P31" s="2379"/>
      <c r="Q31" s="2380" t="str">
        <f t="shared" si="3"/>
        <v/>
      </c>
      <c r="R31" s="2381" t="str">
        <f>IF(H31="","",IF(C31="Efficiency",Q31/($O$6*VLOOKUP(0,'DCA Underwriting Assumptions'!$J$146:$K$151,2,FALSE)),Q31/($O$6*VLOOKUP(C31,'DCA Underwriting Assumptions'!$J$146:$K$151,2,FALSE))))</f>
        <v/>
      </c>
      <c r="S31" s="2382"/>
      <c r="T31" s="2383"/>
      <c r="U31" s="3160"/>
      <c r="V31" s="3162"/>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400"/>
      <c r="C32" s="2373"/>
      <c r="D32" s="2374"/>
      <c r="E32" s="2375"/>
      <c r="F32" s="2375"/>
      <c r="G32" s="2375"/>
      <c r="H32" s="2375"/>
      <c r="I32" s="2376">
        <f>IF(C32="",0,HLOOKUP(C32,'Part V-Utility Allowances'!$I$11:$M$22,12))</f>
        <v>0</v>
      </c>
      <c r="J32" s="2377"/>
      <c r="K32" s="593">
        <f t="shared" si="1"/>
        <v>0</v>
      </c>
      <c r="L32" s="593">
        <f t="shared" si="2"/>
        <v>0</v>
      </c>
      <c r="M32" s="2378"/>
      <c r="N32" s="2378"/>
      <c r="O32" s="2378"/>
      <c r="P32" s="2379"/>
      <c r="Q32" s="2380" t="str">
        <f t="shared" si="3"/>
        <v/>
      </c>
      <c r="R32" s="2381" t="str">
        <f>IF(H32="","",IF(C32="Efficiency",Q32/($O$6*VLOOKUP(0,'DCA Underwriting Assumptions'!$J$146:$K$151,2,FALSE)),Q32/($O$6*VLOOKUP(C32,'DCA Underwriting Assumptions'!$J$146:$K$151,2,FALSE))))</f>
        <v/>
      </c>
      <c r="S32" s="2382"/>
      <c r="T32" s="2383"/>
      <c r="U32" s="3160"/>
      <c r="V32" s="3162"/>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400"/>
      <c r="C33" s="2373"/>
      <c r="D33" s="2374"/>
      <c r="E33" s="2375"/>
      <c r="F33" s="2375"/>
      <c r="G33" s="2375"/>
      <c r="H33" s="2375"/>
      <c r="I33" s="2376">
        <f>IF(C33="",0,HLOOKUP(C33,'Part V-Utility Allowances'!$I$11:$M$22,12))</f>
        <v>0</v>
      </c>
      <c r="J33" s="2377"/>
      <c r="K33" s="593">
        <f t="shared" si="1"/>
        <v>0</v>
      </c>
      <c r="L33" s="593">
        <f t="shared" si="2"/>
        <v>0</v>
      </c>
      <c r="M33" s="2378"/>
      <c r="N33" s="2378"/>
      <c r="O33" s="2378"/>
      <c r="P33" s="2379"/>
      <c r="Q33" s="2380" t="str">
        <f t="shared" si="3"/>
        <v/>
      </c>
      <c r="R33" s="2381" t="str">
        <f>IF(H33="","",IF(C33="Efficiency",Q33/($O$6*VLOOKUP(0,'DCA Underwriting Assumptions'!$J$146:$K$151,2,FALSE)),Q33/($O$6*VLOOKUP(C33,'DCA Underwriting Assumptions'!$J$146:$K$151,2,FALSE))))</f>
        <v/>
      </c>
      <c r="S33" s="2382"/>
      <c r="T33" s="2383"/>
      <c r="U33" s="3160"/>
      <c r="V33" s="3162"/>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400"/>
      <c r="C34" s="2373"/>
      <c r="D34" s="2374"/>
      <c r="E34" s="2375"/>
      <c r="F34" s="2375"/>
      <c r="G34" s="2375"/>
      <c r="H34" s="2375"/>
      <c r="I34" s="2376">
        <f>IF(C34="",0,HLOOKUP(C34,'Part V-Utility Allowances'!$I$11:$M$22,12))</f>
        <v>0</v>
      </c>
      <c r="J34" s="2377"/>
      <c r="K34" s="593">
        <f t="shared" si="1"/>
        <v>0</v>
      </c>
      <c r="L34" s="593">
        <f t="shared" si="2"/>
        <v>0</v>
      </c>
      <c r="M34" s="2378"/>
      <c r="N34" s="2378"/>
      <c r="O34" s="2378"/>
      <c r="P34" s="2379"/>
      <c r="Q34" s="2380" t="str">
        <f t="shared" si="3"/>
        <v/>
      </c>
      <c r="R34" s="2381" t="str">
        <f>IF(H34="","",IF(C34="Efficiency",Q34/($O$6*VLOOKUP(0,'DCA Underwriting Assumptions'!$J$146:$K$151,2,FALSE)),Q34/($O$6*VLOOKUP(C34,'DCA Underwriting Assumptions'!$J$146:$K$151,2,FALSE))))</f>
        <v/>
      </c>
      <c r="S34" s="2382"/>
      <c r="T34" s="2383"/>
      <c r="U34" s="3160"/>
      <c r="V34" s="3162"/>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400"/>
      <c r="C35" s="2373"/>
      <c r="D35" s="2374"/>
      <c r="E35" s="2375"/>
      <c r="F35" s="2375"/>
      <c r="G35" s="2375"/>
      <c r="H35" s="2375"/>
      <c r="I35" s="2376">
        <f>IF(C35="",0,HLOOKUP(C35,'Part V-Utility Allowances'!$I$11:$M$22,12))</f>
        <v>0</v>
      </c>
      <c r="J35" s="2377"/>
      <c r="K35" s="593">
        <f t="shared" si="1"/>
        <v>0</v>
      </c>
      <c r="L35" s="593">
        <f t="shared" si="2"/>
        <v>0</v>
      </c>
      <c r="M35" s="2378"/>
      <c r="N35" s="2378"/>
      <c r="O35" s="2378"/>
      <c r="P35" s="2379"/>
      <c r="Q35" s="2380" t="str">
        <f t="shared" si="3"/>
        <v/>
      </c>
      <c r="R35" s="2381" t="str">
        <f>IF(H35="","",IF(C35="Efficiency",Q35/($O$6*VLOOKUP(0,'DCA Underwriting Assumptions'!$J$146:$K$151,2,FALSE)),Q35/($O$6*VLOOKUP(C35,'DCA Underwriting Assumptions'!$J$146:$K$151,2,FALSE))))</f>
        <v/>
      </c>
      <c r="S35" s="2382"/>
      <c r="T35" s="2383"/>
      <c r="U35" s="3160"/>
      <c r="V35" s="3162"/>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400"/>
      <c r="C36" s="2373"/>
      <c r="D36" s="2374"/>
      <c r="E36" s="2375"/>
      <c r="F36" s="2375"/>
      <c r="G36" s="2375"/>
      <c r="H36" s="2375"/>
      <c r="I36" s="2376">
        <f>IF(C36="",0,HLOOKUP(C36,'Part V-Utility Allowances'!$I$11:$M$22,12))</f>
        <v>0</v>
      </c>
      <c r="J36" s="2377"/>
      <c r="K36" s="593">
        <f t="shared" si="1"/>
        <v>0</v>
      </c>
      <c r="L36" s="593">
        <f t="shared" si="2"/>
        <v>0</v>
      </c>
      <c r="M36" s="2378"/>
      <c r="N36" s="2378"/>
      <c r="O36" s="2378"/>
      <c r="P36" s="2379"/>
      <c r="Q36" s="2380" t="str">
        <f t="shared" si="3"/>
        <v/>
      </c>
      <c r="R36" s="2381" t="str">
        <f>IF(H36="","",IF(C36="Efficiency",Q36/($O$6*VLOOKUP(0,'DCA Underwriting Assumptions'!$J$146:$K$151,2,FALSE)),Q36/($O$6*VLOOKUP(C36,'DCA Underwriting Assumptions'!$J$146:$K$151,2,FALSE))))</f>
        <v/>
      </c>
      <c r="S36" s="2382"/>
      <c r="T36" s="2383"/>
      <c r="U36" s="3160"/>
      <c r="V36" s="3162"/>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400"/>
      <c r="C37" s="2373"/>
      <c r="D37" s="2374"/>
      <c r="E37" s="2375"/>
      <c r="F37" s="2375"/>
      <c r="G37" s="2375"/>
      <c r="H37" s="2375"/>
      <c r="I37" s="2376">
        <f>IF(C37="",0,HLOOKUP(C37,'Part V-Utility Allowances'!$I$11:$M$22,12))</f>
        <v>0</v>
      </c>
      <c r="J37" s="2377"/>
      <c r="K37" s="593">
        <f t="shared" si="1"/>
        <v>0</v>
      </c>
      <c r="L37" s="593">
        <f t="shared" si="2"/>
        <v>0</v>
      </c>
      <c r="M37" s="2378"/>
      <c r="N37" s="2378"/>
      <c r="O37" s="2378"/>
      <c r="P37" s="2379"/>
      <c r="Q37" s="2380" t="str">
        <f t="shared" si="3"/>
        <v/>
      </c>
      <c r="R37" s="2381" t="str">
        <f>IF(H37="","",IF(C37="Efficiency",Q37/($O$6*VLOOKUP(0,'DCA Underwriting Assumptions'!$J$146:$K$151,2,FALSE)),Q37/($O$6*VLOOKUP(C37,'DCA Underwriting Assumptions'!$J$146:$K$151,2,FALSE))))</f>
        <v/>
      </c>
      <c r="S37" s="2382"/>
      <c r="T37" s="2383"/>
      <c r="U37" s="3160"/>
      <c r="V37" s="3162"/>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400"/>
      <c r="C38" s="2373"/>
      <c r="D38" s="2374"/>
      <c r="E38" s="2375"/>
      <c r="F38" s="2375"/>
      <c r="G38" s="2375"/>
      <c r="H38" s="2375"/>
      <c r="I38" s="2376">
        <f>IF(C38="",0,HLOOKUP(C38,'Part V-Utility Allowances'!$I$11:$M$22,12))</f>
        <v>0</v>
      </c>
      <c r="J38" s="2377"/>
      <c r="K38" s="593">
        <f t="shared" si="1"/>
        <v>0</v>
      </c>
      <c r="L38" s="593">
        <f t="shared" si="2"/>
        <v>0</v>
      </c>
      <c r="M38" s="2378"/>
      <c r="N38" s="2378"/>
      <c r="O38" s="2378"/>
      <c r="P38" s="2379"/>
      <c r="Q38" s="2380" t="str">
        <f t="shared" si="3"/>
        <v/>
      </c>
      <c r="R38" s="2381" t="str">
        <f>IF(H38="","",IF(C38="Efficiency",Q38/($O$6*VLOOKUP(0,'DCA Underwriting Assumptions'!$J$146:$K$151,2,FALSE)),Q38/($O$6*VLOOKUP(C38,'DCA Underwriting Assumptions'!$J$146:$K$151,2,FALSE))))</f>
        <v/>
      </c>
      <c r="S38" s="2382"/>
      <c r="T38" s="2383"/>
      <c r="U38" s="3160"/>
      <c r="V38" s="3162"/>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400"/>
      <c r="C39" s="2373"/>
      <c r="D39" s="2374"/>
      <c r="E39" s="2375"/>
      <c r="F39" s="2375"/>
      <c r="G39" s="2375"/>
      <c r="H39" s="2375"/>
      <c r="I39" s="2376">
        <f>IF(C39="",0,HLOOKUP(C39,'Part V-Utility Allowances'!$I$11:$M$22,12))</f>
        <v>0</v>
      </c>
      <c r="J39" s="2377"/>
      <c r="K39" s="593">
        <f t="shared" si="1"/>
        <v>0</v>
      </c>
      <c r="L39" s="593">
        <f t="shared" si="2"/>
        <v>0</v>
      </c>
      <c r="M39" s="2378"/>
      <c r="N39" s="2378"/>
      <c r="O39" s="2378"/>
      <c r="P39" s="2379"/>
      <c r="Q39" s="2380" t="str">
        <f t="shared" si="3"/>
        <v/>
      </c>
      <c r="R39" s="2381" t="str">
        <f>IF(H39="","",IF(C39="Efficiency",Q39/($O$6*VLOOKUP(0,'DCA Underwriting Assumptions'!$J$146:$K$151,2,FALSE)),Q39/($O$6*VLOOKUP(C39,'DCA Underwriting Assumptions'!$J$146:$K$151,2,FALSE))))</f>
        <v/>
      </c>
      <c r="S39" s="2382"/>
      <c r="T39" s="2383"/>
      <c r="U39" s="3160"/>
      <c r="V39" s="3162"/>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400"/>
      <c r="C40" s="2373"/>
      <c r="D40" s="2374"/>
      <c r="E40" s="2375"/>
      <c r="F40" s="2375"/>
      <c r="G40" s="2375"/>
      <c r="H40" s="2375"/>
      <c r="I40" s="2376">
        <f>IF(C40="",0,HLOOKUP(C40,'Part V-Utility Allowances'!$I$11:$M$22,12))</f>
        <v>0</v>
      </c>
      <c r="J40" s="2377"/>
      <c r="K40" s="593">
        <f t="shared" si="1"/>
        <v>0</v>
      </c>
      <c r="L40" s="593">
        <f t="shared" si="2"/>
        <v>0</v>
      </c>
      <c r="M40" s="2378"/>
      <c r="N40" s="2378"/>
      <c r="O40" s="2378"/>
      <c r="P40" s="2379"/>
      <c r="Q40" s="2380" t="str">
        <f t="shared" si="3"/>
        <v/>
      </c>
      <c r="R40" s="2381" t="str">
        <f>IF(H40="","",IF(C40="Efficiency",Q40/($O$6*VLOOKUP(0,'DCA Underwriting Assumptions'!$J$146:$K$151,2,FALSE)),Q40/($O$6*VLOOKUP(C40,'DCA Underwriting Assumptions'!$J$146:$K$151,2,FALSE))))</f>
        <v/>
      </c>
      <c r="S40" s="2382"/>
      <c r="T40" s="2383"/>
      <c r="U40" s="3160"/>
      <c r="V40" s="3162"/>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400"/>
      <c r="C41" s="2373"/>
      <c r="D41" s="2374"/>
      <c r="E41" s="2375"/>
      <c r="F41" s="2375"/>
      <c r="G41" s="2375"/>
      <c r="H41" s="2375"/>
      <c r="I41" s="2376">
        <f>IF(C41="",0,HLOOKUP(C41,'Part V-Utility Allowances'!$I$11:$M$22,12))</f>
        <v>0</v>
      </c>
      <c r="J41" s="2377"/>
      <c r="K41" s="593">
        <f t="shared" si="1"/>
        <v>0</v>
      </c>
      <c r="L41" s="593">
        <f t="shared" si="2"/>
        <v>0</v>
      </c>
      <c r="M41" s="2378"/>
      <c r="N41" s="2378"/>
      <c r="O41" s="2378"/>
      <c r="P41" s="2379"/>
      <c r="Q41" s="2380" t="str">
        <f t="shared" si="3"/>
        <v/>
      </c>
      <c r="R41" s="2381" t="str">
        <f>IF(H41="","",IF(C41="Efficiency",Q41/($O$6*VLOOKUP(0,'DCA Underwriting Assumptions'!$J$146:$K$151,2,FALSE)),Q41/($O$6*VLOOKUP(C41,'DCA Underwriting Assumptions'!$J$146:$K$151,2,FALSE))))</f>
        <v/>
      </c>
      <c r="S41" s="2382"/>
      <c r="T41" s="2383"/>
      <c r="U41" s="3160"/>
      <c r="V41" s="3162"/>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400"/>
      <c r="C42" s="2373"/>
      <c r="D42" s="2374"/>
      <c r="E42" s="2375"/>
      <c r="F42" s="2375"/>
      <c r="G42" s="2375"/>
      <c r="H42" s="2375"/>
      <c r="I42" s="2376">
        <f>IF(C42="",0,HLOOKUP(C42,'Part V-Utility Allowances'!$I$11:$M$22,12))</f>
        <v>0</v>
      </c>
      <c r="J42" s="2377"/>
      <c r="K42" s="593">
        <f t="shared" si="1"/>
        <v>0</v>
      </c>
      <c r="L42" s="593">
        <f t="shared" si="2"/>
        <v>0</v>
      </c>
      <c r="M42" s="2378"/>
      <c r="N42" s="2378"/>
      <c r="O42" s="2378"/>
      <c r="P42" s="2379"/>
      <c r="Q42" s="2380" t="str">
        <f t="shared" si="3"/>
        <v/>
      </c>
      <c r="R42" s="2381" t="str">
        <f>IF(H42="","",IF(C42="Efficiency",Q42/($O$6*VLOOKUP(0,'DCA Underwriting Assumptions'!$J$146:$K$151,2,FALSE)),Q42/($O$6*VLOOKUP(C42,'DCA Underwriting Assumptions'!$J$146:$K$151,2,FALSE))))</f>
        <v/>
      </c>
      <c r="S42" s="2382"/>
      <c r="T42" s="2383"/>
      <c r="U42" s="3160"/>
      <c r="V42" s="3162"/>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400"/>
      <c r="C43" s="2373"/>
      <c r="D43" s="2374"/>
      <c r="E43" s="2375"/>
      <c r="F43" s="2375"/>
      <c r="G43" s="2375"/>
      <c r="H43" s="2375"/>
      <c r="I43" s="2376">
        <f>IF(C43="",0,HLOOKUP(C43,'Part V-Utility Allowances'!$I$11:$M$22,12))</f>
        <v>0</v>
      </c>
      <c r="J43" s="2377"/>
      <c r="K43" s="593">
        <f t="shared" si="1"/>
        <v>0</v>
      </c>
      <c r="L43" s="593">
        <f t="shared" si="2"/>
        <v>0</v>
      </c>
      <c r="M43" s="2378"/>
      <c r="N43" s="2378"/>
      <c r="O43" s="2378"/>
      <c r="P43" s="2379"/>
      <c r="Q43" s="2380" t="str">
        <f t="shared" si="3"/>
        <v/>
      </c>
      <c r="R43" s="2381" t="str">
        <f>IF(H43="","",IF(C43="Efficiency",Q43/($O$6*VLOOKUP(0,'DCA Underwriting Assumptions'!$J$146:$K$151,2,FALSE)),Q43/($O$6*VLOOKUP(C43,'DCA Underwriting Assumptions'!$J$146:$K$151,2,FALSE))))</f>
        <v/>
      </c>
      <c r="S43" s="2382"/>
      <c r="T43" s="2383"/>
      <c r="U43" s="3160"/>
      <c r="V43" s="3162"/>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400"/>
      <c r="C44" s="2373"/>
      <c r="D44" s="2374"/>
      <c r="E44" s="2375"/>
      <c r="F44" s="2375"/>
      <c r="G44" s="2375"/>
      <c r="H44" s="2375"/>
      <c r="I44" s="2376">
        <f>IF(C44="",0,HLOOKUP(C44,'Part V-Utility Allowances'!$I$11:$M$22,12))</f>
        <v>0</v>
      </c>
      <c r="J44" s="2377"/>
      <c r="K44" s="593">
        <f t="shared" si="1"/>
        <v>0</v>
      </c>
      <c r="L44" s="593">
        <f t="shared" si="2"/>
        <v>0</v>
      </c>
      <c r="M44" s="2378"/>
      <c r="N44" s="2378"/>
      <c r="O44" s="2378"/>
      <c r="P44" s="2379"/>
      <c r="Q44" s="2380" t="str">
        <f t="shared" si="3"/>
        <v/>
      </c>
      <c r="R44" s="2381" t="str">
        <f>IF(H44="","",IF(C44="Efficiency",Q44/($O$6*VLOOKUP(0,'DCA Underwriting Assumptions'!$J$146:$K$151,2,FALSE)),Q44/($O$6*VLOOKUP(C44,'DCA Underwriting Assumptions'!$J$146:$K$151,2,FALSE))))</f>
        <v/>
      </c>
      <c r="S44" s="2382"/>
      <c r="T44" s="2383"/>
      <c r="U44" s="3160"/>
      <c r="V44" s="3162"/>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400"/>
      <c r="C45" s="2373"/>
      <c r="D45" s="2374"/>
      <c r="E45" s="2375"/>
      <c r="F45" s="2375"/>
      <c r="G45" s="2375"/>
      <c r="H45" s="2375"/>
      <c r="I45" s="2376">
        <f>IF(C45="",0,HLOOKUP(C45,'Part V-Utility Allowances'!$I$11:$M$22,12))</f>
        <v>0</v>
      </c>
      <c r="J45" s="2377"/>
      <c r="K45" s="593">
        <f t="shared" si="1"/>
        <v>0</v>
      </c>
      <c r="L45" s="593">
        <f t="shared" si="2"/>
        <v>0</v>
      </c>
      <c r="M45" s="2378"/>
      <c r="N45" s="2378"/>
      <c r="O45" s="2378"/>
      <c r="P45" s="2379"/>
      <c r="Q45" s="2380" t="str">
        <f t="shared" si="3"/>
        <v/>
      </c>
      <c r="R45" s="2381" t="str">
        <f>IF(H45="","",IF(C45="Efficiency",Q45/($O$6*VLOOKUP(0,'DCA Underwriting Assumptions'!$J$146:$K$151,2,FALSE)),Q45/($O$6*VLOOKUP(C45,'DCA Underwriting Assumptions'!$J$146:$K$151,2,FALSE))))</f>
        <v/>
      </c>
      <c r="S45" s="2382"/>
      <c r="T45" s="2383"/>
      <c r="U45" s="3160"/>
      <c r="V45" s="3162"/>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400"/>
      <c r="C46" s="2373"/>
      <c r="D46" s="2374"/>
      <c r="E46" s="2375"/>
      <c r="F46" s="2375"/>
      <c r="G46" s="2375"/>
      <c r="H46" s="2375"/>
      <c r="I46" s="2376">
        <f>IF(C46="",0,HLOOKUP(C46,'Part V-Utility Allowances'!$I$11:$M$22,12))</f>
        <v>0</v>
      </c>
      <c r="J46" s="2377"/>
      <c r="K46" s="593">
        <f t="shared" si="1"/>
        <v>0</v>
      </c>
      <c r="L46" s="593">
        <f t="shared" si="2"/>
        <v>0</v>
      </c>
      <c r="M46" s="2378"/>
      <c r="N46" s="2378"/>
      <c r="O46" s="2378"/>
      <c r="P46" s="2379"/>
      <c r="Q46" s="2380" t="str">
        <f t="shared" si="3"/>
        <v/>
      </c>
      <c r="R46" s="2381" t="str">
        <f>IF(H46="","",IF(C46="Efficiency",Q46/($O$6*VLOOKUP(0,'DCA Underwriting Assumptions'!$J$146:$K$151,2,FALSE)),Q46/($O$6*VLOOKUP(C46,'DCA Underwriting Assumptions'!$J$146:$K$151,2,FALSE))))</f>
        <v/>
      </c>
      <c r="S46" s="2382"/>
      <c r="T46" s="2383"/>
      <c r="U46" s="3160"/>
      <c r="V46" s="3162"/>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401"/>
      <c r="C47" s="2402"/>
      <c r="D47" s="2403"/>
      <c r="E47" s="2404"/>
      <c r="F47" s="2404"/>
      <c r="G47" s="2404"/>
      <c r="H47" s="2404"/>
      <c r="I47" s="2405">
        <f>IF(C47="",0,HLOOKUP(C47,'Part V-Utility Allowances'!$I$11:$M$22,12))</f>
        <v>0</v>
      </c>
      <c r="J47" s="2406"/>
      <c r="K47" s="594">
        <f t="shared" si="1"/>
        <v>0</v>
      </c>
      <c r="L47" s="594">
        <f t="shared" si="2"/>
        <v>0</v>
      </c>
      <c r="M47" s="2407"/>
      <c r="N47" s="2407"/>
      <c r="O47" s="2407"/>
      <c r="P47" s="2408"/>
      <c r="Q47" s="2409" t="str">
        <f t="shared" si="3"/>
        <v/>
      </c>
      <c r="R47" s="2410" t="str">
        <f>IF(H47="","",IF(C47="Efficiency",Q47/($O$6*VLOOKUP(0,'DCA Underwriting Assumptions'!$J$146:$K$151,2,FALSE)),Q47/($O$6*VLOOKUP(C47,'DCA Underwriting Assumptions'!$J$146:$K$151,2,FALSE))))</f>
        <v/>
      </c>
      <c r="S47" s="2411"/>
      <c r="T47" s="2412"/>
      <c r="U47" s="3164"/>
      <c r="V47" s="3166"/>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3</v>
      </c>
      <c r="B48" s="3219" t="s">
        <v>4379</v>
      </c>
      <c r="C48" s="3220"/>
      <c r="D48" s="138" t="s">
        <v>1005</v>
      </c>
      <c r="E48" s="1430">
        <f>SUM(E10:E47)</f>
        <v>84</v>
      </c>
      <c r="F48" s="1428">
        <f>(E10*F10+E11*F11+E12*F12+E13*F13+E14*F14+E15*F15+E16*F16+E17*F17+E18*F18+E19*F19+E20*F20+E21*F21+E22*F22+E23*F23+E24*F24+E25*F25+E26*F26+E27*F27+E28*F28+E29*F29+E30*F30+E31*F31+E32*F32+E33*F33+E34*F34+E35*F35+E36*F36+E37*F37+E38*F38+E39*F39+E40*F40+E41*F41+E42*F42+E43*F43+E44*F44+E45*F45+E46*F46+E47*F47)</f>
        <v>74620</v>
      </c>
      <c r="G48" s="3170" t="s">
        <v>4376</v>
      </c>
      <c r="H48" s="2413" t="s">
        <v>4377</v>
      </c>
      <c r="I48" s="1431" t="str">
        <f>IF(O67=0,"",IF(SUM(O56:O62)/O67&gt;=0.4,"Pass","Fail"))</f>
        <v>Pass</v>
      </c>
      <c r="J48" s="571"/>
      <c r="K48" s="913" t="s">
        <v>1287</v>
      </c>
      <c r="L48" s="123">
        <f>SUM(L10:L47)</f>
        <v>64042</v>
      </c>
      <c r="M48" s="94"/>
      <c r="N48" s="572"/>
      <c r="O48" s="94"/>
      <c r="P48" s="469"/>
      <c r="Q48" s="469"/>
      <c r="R48" s="469"/>
      <c r="S48" s="469"/>
      <c r="T48" s="469"/>
      <c r="U48" s="896"/>
      <c r="V48" s="573"/>
      <c r="W48" s="1709">
        <f t="shared" ref="W48:EZ48" si="339">SUM(W10:W47)</f>
        <v>0</v>
      </c>
      <c r="X48" s="1709">
        <f t="shared" si="339"/>
        <v>0</v>
      </c>
      <c r="Y48" s="1709">
        <f t="shared" si="339"/>
        <v>0</v>
      </c>
      <c r="Z48" s="1709">
        <f t="shared" si="339"/>
        <v>0</v>
      </c>
      <c r="AA48" s="1709">
        <f t="shared" si="339"/>
        <v>0</v>
      </c>
      <c r="AB48" s="1709">
        <f t="shared" ref="AB48:AK48" si="340">SUM(AB10:AB47)</f>
        <v>0</v>
      </c>
      <c r="AC48" s="1709">
        <f t="shared" si="340"/>
        <v>0</v>
      </c>
      <c r="AD48" s="1709">
        <f t="shared" si="340"/>
        <v>0</v>
      </c>
      <c r="AE48" s="1709">
        <f t="shared" si="340"/>
        <v>0</v>
      </c>
      <c r="AF48" s="1709">
        <f t="shared" si="340"/>
        <v>0</v>
      </c>
      <c r="AG48" s="1709">
        <f t="shared" si="340"/>
        <v>0</v>
      </c>
      <c r="AH48" s="1709">
        <f t="shared" si="340"/>
        <v>21</v>
      </c>
      <c r="AI48" s="1709">
        <f t="shared" si="340"/>
        <v>27</v>
      </c>
      <c r="AJ48" s="1709">
        <f t="shared" si="340"/>
        <v>6</v>
      </c>
      <c r="AK48" s="1709">
        <f t="shared" si="340"/>
        <v>0</v>
      </c>
      <c r="AL48" s="1709">
        <f>SUM(AL10:AL47)</f>
        <v>0</v>
      </c>
      <c r="AM48" s="1709">
        <f>SUM(AM10:AM47)</f>
        <v>7</v>
      </c>
      <c r="AN48" s="1709">
        <f>SUM(AN10:AN47)</f>
        <v>8</v>
      </c>
      <c r="AO48" s="1709">
        <f>SUM(AO10:AO47)</f>
        <v>2</v>
      </c>
      <c r="AP48" s="1709">
        <f>SUM(AP10:AP47)</f>
        <v>0</v>
      </c>
      <c r="AQ48" s="1709">
        <f t="shared" si="339"/>
        <v>0</v>
      </c>
      <c r="AR48" s="1709">
        <f t="shared" si="339"/>
        <v>0</v>
      </c>
      <c r="AS48" s="1709">
        <f t="shared" si="339"/>
        <v>0</v>
      </c>
      <c r="AT48" s="1709">
        <f t="shared" si="339"/>
        <v>0</v>
      </c>
      <c r="AU48" s="1709">
        <f t="shared" si="339"/>
        <v>0</v>
      </c>
      <c r="AV48" s="1709">
        <f t="shared" si="339"/>
        <v>0</v>
      </c>
      <c r="AW48" s="1709">
        <f t="shared" si="339"/>
        <v>0</v>
      </c>
      <c r="AX48" s="1709">
        <f t="shared" si="339"/>
        <v>0</v>
      </c>
      <c r="AY48" s="1709">
        <f t="shared" si="339"/>
        <v>0</v>
      </c>
      <c r="AZ48" s="1709">
        <f t="shared" si="339"/>
        <v>0</v>
      </c>
      <c r="BA48" s="1709">
        <f>SUM(BA10:BA47)</f>
        <v>0</v>
      </c>
      <c r="BB48" s="1709">
        <f>SUM(BB10:BB47)</f>
        <v>0</v>
      </c>
      <c r="BC48" s="1709">
        <f>SUM(BC10:BC47)</f>
        <v>0</v>
      </c>
      <c r="BD48" s="1709">
        <f>SUM(BD10:BD47)</f>
        <v>0</v>
      </c>
      <c r="BE48" s="1709">
        <f>SUM(BE10:BE47)</f>
        <v>0</v>
      </c>
      <c r="BF48" s="1709">
        <f t="shared" si="339"/>
        <v>0</v>
      </c>
      <c r="BG48" s="1709">
        <f t="shared" si="339"/>
        <v>4</v>
      </c>
      <c r="BH48" s="1709">
        <f t="shared" si="339"/>
        <v>7</v>
      </c>
      <c r="BI48" s="1709">
        <f t="shared" si="339"/>
        <v>2</v>
      </c>
      <c r="BJ48" s="1709">
        <f t="shared" si="339"/>
        <v>0</v>
      </c>
      <c r="BK48" s="1709">
        <f>SUM(BK10:BK47)</f>
        <v>0</v>
      </c>
      <c r="BL48" s="1709">
        <f>SUM(BL10:BL47)</f>
        <v>0</v>
      </c>
      <c r="BM48" s="1709">
        <f>SUM(BM10:BM47)</f>
        <v>0</v>
      </c>
      <c r="BN48" s="1709">
        <f>SUM(BN10:BN47)</f>
        <v>0</v>
      </c>
      <c r="BO48" s="1709">
        <f>SUM(BO10:BO47)</f>
        <v>0</v>
      </c>
      <c r="BP48" s="1709">
        <f t="shared" si="339"/>
        <v>0</v>
      </c>
      <c r="BQ48" s="1709">
        <f t="shared" si="339"/>
        <v>0</v>
      </c>
      <c r="BR48" s="1709">
        <f t="shared" si="339"/>
        <v>0</v>
      </c>
      <c r="BS48" s="1709">
        <f t="shared" si="339"/>
        <v>0</v>
      </c>
      <c r="BT48" s="1709">
        <f t="shared" si="339"/>
        <v>0</v>
      </c>
      <c r="BU48" s="1709">
        <f>SUM(BU10:BU47)</f>
        <v>0</v>
      </c>
      <c r="BV48" s="1709">
        <f>SUM(BV10:BV47)</f>
        <v>0</v>
      </c>
      <c r="BW48" s="1709">
        <f>SUM(BW10:BW47)</f>
        <v>0</v>
      </c>
      <c r="BX48" s="1709">
        <f>SUM(BX10:BX47)</f>
        <v>0</v>
      </c>
      <c r="BY48" s="1709">
        <f>SUM(BY10:BY47)</f>
        <v>0</v>
      </c>
      <c r="BZ48" s="1709">
        <f t="shared" si="339"/>
        <v>0</v>
      </c>
      <c r="CA48" s="1709">
        <f t="shared" si="339"/>
        <v>0</v>
      </c>
      <c r="CB48" s="1709">
        <f t="shared" si="339"/>
        <v>0</v>
      </c>
      <c r="CC48" s="1709">
        <f t="shared" si="339"/>
        <v>0</v>
      </c>
      <c r="CD48" s="1709">
        <f t="shared" si="339"/>
        <v>0</v>
      </c>
      <c r="CE48" s="1709">
        <f t="shared" si="339"/>
        <v>0</v>
      </c>
      <c r="CF48" s="1709">
        <f t="shared" si="339"/>
        <v>0</v>
      </c>
      <c r="CG48" s="1709">
        <f t="shared" si="339"/>
        <v>0</v>
      </c>
      <c r="CH48" s="1709">
        <f t="shared" si="339"/>
        <v>0</v>
      </c>
      <c r="CI48" s="1709">
        <f t="shared" si="339"/>
        <v>0</v>
      </c>
      <c r="CJ48" s="1709">
        <f>SUM(CJ10:CJ47)</f>
        <v>0</v>
      </c>
      <c r="CK48" s="1709">
        <f>SUM(CK10:CK47)</f>
        <v>0</v>
      </c>
      <c r="CL48" s="1709">
        <f>SUM(CL10:CL47)</f>
        <v>0</v>
      </c>
      <c r="CM48" s="1709">
        <f>SUM(CM10:CM47)</f>
        <v>0</v>
      </c>
      <c r="CN48" s="1709">
        <f>SUM(CN10:CN47)</f>
        <v>0</v>
      </c>
      <c r="CO48" s="1709">
        <f t="shared" ref="CO48:CX48" si="341">SUM(CO10:CO47)</f>
        <v>0</v>
      </c>
      <c r="CP48" s="1709">
        <f t="shared" si="341"/>
        <v>0</v>
      </c>
      <c r="CQ48" s="1709">
        <f t="shared" si="341"/>
        <v>0</v>
      </c>
      <c r="CR48" s="1709">
        <f t="shared" si="341"/>
        <v>0</v>
      </c>
      <c r="CS48" s="1709">
        <f t="shared" si="341"/>
        <v>0</v>
      </c>
      <c r="CT48" s="1709">
        <f t="shared" si="341"/>
        <v>0</v>
      </c>
      <c r="CU48" s="1709">
        <f t="shared" si="341"/>
        <v>0</v>
      </c>
      <c r="CV48" s="1709">
        <f t="shared" si="341"/>
        <v>0</v>
      </c>
      <c r="CW48" s="1709">
        <f t="shared" si="341"/>
        <v>0</v>
      </c>
      <c r="CX48" s="1709">
        <f t="shared" si="341"/>
        <v>0</v>
      </c>
      <c r="CY48" s="1709">
        <f t="shared" si="339"/>
        <v>0</v>
      </c>
      <c r="CZ48" s="1709">
        <f t="shared" si="339"/>
        <v>0</v>
      </c>
      <c r="DA48" s="1709">
        <f t="shared" si="339"/>
        <v>0</v>
      </c>
      <c r="DB48" s="1709">
        <f t="shared" si="339"/>
        <v>0</v>
      </c>
      <c r="DC48" s="1709">
        <f t="shared" si="339"/>
        <v>0</v>
      </c>
      <c r="DD48" s="1709">
        <f t="shared" si="339"/>
        <v>0</v>
      </c>
      <c r="DE48" s="1709">
        <f t="shared" si="339"/>
        <v>0</v>
      </c>
      <c r="DF48" s="1709">
        <f t="shared" si="339"/>
        <v>0</v>
      </c>
      <c r="DG48" s="1709">
        <f t="shared" si="339"/>
        <v>0</v>
      </c>
      <c r="DH48" s="1709">
        <f t="shared" si="339"/>
        <v>0</v>
      </c>
      <c r="DI48" s="1709">
        <f t="shared" si="339"/>
        <v>0</v>
      </c>
      <c r="DJ48" s="1709">
        <f t="shared" si="339"/>
        <v>0</v>
      </c>
      <c r="DK48" s="1709">
        <f t="shared" si="339"/>
        <v>0</v>
      </c>
      <c r="DL48" s="1709">
        <f t="shared" si="339"/>
        <v>0</v>
      </c>
      <c r="DM48" s="1709">
        <f t="shared" si="339"/>
        <v>0</v>
      </c>
      <c r="DN48" s="1709">
        <f t="shared" si="339"/>
        <v>0</v>
      </c>
      <c r="DO48" s="1709">
        <f t="shared" si="339"/>
        <v>0</v>
      </c>
      <c r="DP48" s="1709">
        <f t="shared" si="339"/>
        <v>0</v>
      </c>
      <c r="DQ48" s="1709">
        <f t="shared" si="339"/>
        <v>0</v>
      </c>
      <c r="DR48" s="1709">
        <f t="shared" si="339"/>
        <v>0</v>
      </c>
      <c r="DS48" s="1709">
        <f t="shared" ref="DS48:EB48" si="342">SUM(DS10:DS47)</f>
        <v>0</v>
      </c>
      <c r="DT48" s="1709">
        <f t="shared" si="342"/>
        <v>0</v>
      </c>
      <c r="DU48" s="1709">
        <f t="shared" si="342"/>
        <v>0</v>
      </c>
      <c r="DV48" s="1709">
        <f t="shared" si="342"/>
        <v>0</v>
      </c>
      <c r="DW48" s="1709">
        <f t="shared" si="342"/>
        <v>0</v>
      </c>
      <c r="DX48" s="1709">
        <f t="shared" si="342"/>
        <v>0</v>
      </c>
      <c r="DY48" s="1709">
        <f t="shared" si="342"/>
        <v>0</v>
      </c>
      <c r="DZ48" s="1709">
        <f t="shared" si="342"/>
        <v>0</v>
      </c>
      <c r="EA48" s="1709">
        <f t="shared" si="342"/>
        <v>0</v>
      </c>
      <c r="EB48" s="1709">
        <f t="shared" si="342"/>
        <v>0</v>
      </c>
      <c r="EC48" s="1709">
        <f t="shared" si="339"/>
        <v>0</v>
      </c>
      <c r="ED48" s="1709">
        <f t="shared" si="339"/>
        <v>0</v>
      </c>
      <c r="EE48" s="1709">
        <f t="shared" si="339"/>
        <v>0</v>
      </c>
      <c r="EF48" s="1709">
        <f t="shared" si="339"/>
        <v>0</v>
      </c>
      <c r="EG48" s="1709">
        <f t="shared" si="339"/>
        <v>0</v>
      </c>
      <c r="EH48" s="1709">
        <f t="shared" si="339"/>
        <v>0</v>
      </c>
      <c r="EI48" s="1709">
        <f t="shared" si="339"/>
        <v>0</v>
      </c>
      <c r="EJ48" s="1709">
        <f t="shared" si="339"/>
        <v>0</v>
      </c>
      <c r="EK48" s="1709">
        <f t="shared" si="339"/>
        <v>0</v>
      </c>
      <c r="EL48" s="1709">
        <f t="shared" si="339"/>
        <v>0</v>
      </c>
      <c r="EM48" s="1709">
        <f t="shared" ref="EM48:EV48" si="343">SUM(EM10:EM47)</f>
        <v>0</v>
      </c>
      <c r="EN48" s="1709">
        <f t="shared" si="343"/>
        <v>0</v>
      </c>
      <c r="EO48" s="1709">
        <f t="shared" si="343"/>
        <v>0</v>
      </c>
      <c r="EP48" s="1709">
        <f t="shared" si="343"/>
        <v>0</v>
      </c>
      <c r="EQ48" s="1709">
        <f t="shared" si="343"/>
        <v>0</v>
      </c>
      <c r="ER48" s="1709">
        <f t="shared" si="343"/>
        <v>0</v>
      </c>
      <c r="ES48" s="1709">
        <f t="shared" si="343"/>
        <v>14910</v>
      </c>
      <c r="ET48" s="1709">
        <f t="shared" si="343"/>
        <v>25650</v>
      </c>
      <c r="EU48" s="1709">
        <f t="shared" si="343"/>
        <v>7200</v>
      </c>
      <c r="EV48" s="1709">
        <f t="shared" si="343"/>
        <v>0</v>
      </c>
      <c r="EW48" s="1709">
        <f t="shared" si="339"/>
        <v>0</v>
      </c>
      <c r="EX48" s="1709">
        <f t="shared" si="339"/>
        <v>4970</v>
      </c>
      <c r="EY48" s="1709">
        <f t="shared" si="339"/>
        <v>7600</v>
      </c>
      <c r="EZ48" s="1709">
        <f t="shared" si="339"/>
        <v>2400</v>
      </c>
      <c r="FA48" s="1709">
        <f t="shared" ref="FA48:HV48" si="344">SUM(FA10:FA47)</f>
        <v>0</v>
      </c>
      <c r="FB48" s="1709">
        <f>SUM(FB10:FB47)</f>
        <v>0</v>
      </c>
      <c r="FC48" s="1709">
        <f>SUM(FC10:FC47)</f>
        <v>0</v>
      </c>
      <c r="FD48" s="1709">
        <f>SUM(FD10:FD47)</f>
        <v>0</v>
      </c>
      <c r="FE48" s="1709">
        <f>SUM(FE10:FE47)</f>
        <v>0</v>
      </c>
      <c r="FF48" s="1709">
        <f>SUM(FF10:FF47)</f>
        <v>0</v>
      </c>
      <c r="FG48" s="1709">
        <f t="shared" si="344"/>
        <v>0</v>
      </c>
      <c r="FH48" s="1709">
        <f t="shared" si="344"/>
        <v>0</v>
      </c>
      <c r="FI48" s="1709">
        <f t="shared" si="344"/>
        <v>0</v>
      </c>
      <c r="FJ48" s="1709">
        <f t="shared" si="344"/>
        <v>0</v>
      </c>
      <c r="FK48" s="1709">
        <f t="shared" si="344"/>
        <v>0</v>
      </c>
      <c r="FL48" s="1709">
        <f>SUM(FL10:FL47)</f>
        <v>0</v>
      </c>
      <c r="FM48" s="1709">
        <f>SUM(FM10:FM47)</f>
        <v>0</v>
      </c>
      <c r="FN48" s="1709">
        <f>SUM(FN10:FN47)</f>
        <v>0</v>
      </c>
      <c r="FO48" s="1709">
        <f>SUM(FO10:FO47)</f>
        <v>0</v>
      </c>
      <c r="FP48" s="1709">
        <f>SUM(FP10:FP47)</f>
        <v>0</v>
      </c>
      <c r="FQ48" s="1709">
        <f t="shared" si="344"/>
        <v>0</v>
      </c>
      <c r="FR48" s="1709">
        <f t="shared" si="344"/>
        <v>2840</v>
      </c>
      <c r="FS48" s="1709">
        <f t="shared" si="344"/>
        <v>6650</v>
      </c>
      <c r="FT48" s="1709">
        <f t="shared" si="344"/>
        <v>2400</v>
      </c>
      <c r="FU48" s="1709">
        <f t="shared" si="344"/>
        <v>0</v>
      </c>
      <c r="FV48" s="1709">
        <f t="shared" si="344"/>
        <v>0</v>
      </c>
      <c r="FW48" s="1709">
        <f t="shared" si="344"/>
        <v>0</v>
      </c>
      <c r="FX48" s="1709">
        <f t="shared" si="344"/>
        <v>0</v>
      </c>
      <c r="FY48" s="1709">
        <f t="shared" si="344"/>
        <v>0</v>
      </c>
      <c r="FZ48" s="1709">
        <f t="shared" si="344"/>
        <v>0</v>
      </c>
      <c r="GA48" s="1709">
        <f t="shared" si="344"/>
        <v>0</v>
      </c>
      <c r="GB48" s="1709">
        <f t="shared" si="344"/>
        <v>0</v>
      </c>
      <c r="GC48" s="1709">
        <f t="shared" si="344"/>
        <v>0</v>
      </c>
      <c r="GD48" s="1709">
        <f t="shared" si="344"/>
        <v>0</v>
      </c>
      <c r="GE48" s="1709">
        <f t="shared" si="344"/>
        <v>0</v>
      </c>
      <c r="GF48" s="1709">
        <f t="shared" si="344"/>
        <v>0</v>
      </c>
      <c r="GG48" s="1709">
        <f t="shared" si="344"/>
        <v>28</v>
      </c>
      <c r="GH48" s="1709">
        <f t="shared" si="344"/>
        <v>35</v>
      </c>
      <c r="GI48" s="1709">
        <f t="shared" si="344"/>
        <v>8</v>
      </c>
      <c r="GJ48" s="1709">
        <f t="shared" si="344"/>
        <v>0</v>
      </c>
      <c r="GK48" s="1709">
        <f t="shared" si="344"/>
        <v>0</v>
      </c>
      <c r="GL48" s="1709">
        <f t="shared" si="344"/>
        <v>4</v>
      </c>
      <c r="GM48" s="1709">
        <f t="shared" si="344"/>
        <v>7</v>
      </c>
      <c r="GN48" s="1709">
        <f t="shared" si="344"/>
        <v>2</v>
      </c>
      <c r="GO48" s="1709">
        <f t="shared" si="344"/>
        <v>0</v>
      </c>
      <c r="GP48" s="1709">
        <f t="shared" si="344"/>
        <v>0</v>
      </c>
      <c r="GQ48" s="1709">
        <f t="shared" si="344"/>
        <v>0</v>
      </c>
      <c r="GR48" s="1709">
        <f t="shared" si="344"/>
        <v>0</v>
      </c>
      <c r="GS48" s="1709">
        <f t="shared" si="344"/>
        <v>0</v>
      </c>
      <c r="GT48" s="1709">
        <f t="shared" si="344"/>
        <v>0</v>
      </c>
      <c r="GU48" s="1709">
        <f t="shared" si="344"/>
        <v>0</v>
      </c>
      <c r="GV48" s="1709">
        <f t="shared" si="344"/>
        <v>0</v>
      </c>
      <c r="GW48" s="1709">
        <f t="shared" si="344"/>
        <v>0</v>
      </c>
      <c r="GX48" s="1709">
        <f t="shared" si="344"/>
        <v>0</v>
      </c>
      <c r="GY48" s="1709">
        <f t="shared" si="344"/>
        <v>0</v>
      </c>
      <c r="GZ48" s="1709">
        <f t="shared" si="344"/>
        <v>0</v>
      </c>
      <c r="HA48" s="1709">
        <f t="shared" si="344"/>
        <v>0</v>
      </c>
      <c r="HB48" s="1709">
        <f t="shared" si="344"/>
        <v>0</v>
      </c>
      <c r="HC48" s="1709">
        <f t="shared" si="344"/>
        <v>0</v>
      </c>
      <c r="HD48" s="1709">
        <f t="shared" si="344"/>
        <v>0</v>
      </c>
      <c r="HE48" s="1709">
        <f t="shared" si="344"/>
        <v>0</v>
      </c>
      <c r="HF48" s="1709">
        <f t="shared" si="344"/>
        <v>0</v>
      </c>
      <c r="HG48" s="1709">
        <f t="shared" si="344"/>
        <v>0</v>
      </c>
      <c r="HH48" s="1709">
        <f t="shared" si="344"/>
        <v>0</v>
      </c>
      <c r="HI48" s="1709">
        <f t="shared" si="344"/>
        <v>0</v>
      </c>
      <c r="HJ48" s="1709">
        <f t="shared" si="344"/>
        <v>0</v>
      </c>
      <c r="HK48" s="1709">
        <f t="shared" si="344"/>
        <v>0</v>
      </c>
      <c r="HL48" s="1709">
        <f t="shared" si="344"/>
        <v>0</v>
      </c>
      <c r="HM48" s="1709">
        <f t="shared" si="344"/>
        <v>0</v>
      </c>
      <c r="HN48" s="1709">
        <f t="shared" si="344"/>
        <v>0</v>
      </c>
      <c r="HO48" s="1709">
        <f t="shared" si="344"/>
        <v>0</v>
      </c>
      <c r="HP48" s="1709">
        <f t="shared" si="344"/>
        <v>0</v>
      </c>
      <c r="HQ48" s="1709">
        <f t="shared" si="344"/>
        <v>0</v>
      </c>
      <c r="HR48" s="1709">
        <f t="shared" si="344"/>
        <v>0</v>
      </c>
      <c r="HS48" s="1709">
        <f t="shared" si="344"/>
        <v>0</v>
      </c>
      <c r="HT48" s="1709">
        <f t="shared" si="344"/>
        <v>0</v>
      </c>
      <c r="HU48" s="1709">
        <f t="shared" si="344"/>
        <v>0</v>
      </c>
      <c r="HV48" s="1709">
        <f t="shared" si="344"/>
        <v>0</v>
      </c>
      <c r="HW48" s="1709">
        <f t="shared" ref="HW48:KH48" si="345">SUM(HW10:HW47)</f>
        <v>0</v>
      </c>
      <c r="HX48" s="1709">
        <f t="shared" si="345"/>
        <v>0</v>
      </c>
      <c r="HY48" s="1709">
        <f t="shared" si="345"/>
        <v>0</v>
      </c>
      <c r="HZ48" s="1709">
        <f t="shared" si="345"/>
        <v>32</v>
      </c>
      <c r="IA48" s="1709">
        <f t="shared" si="345"/>
        <v>42</v>
      </c>
      <c r="IB48" s="1709">
        <f t="shared" si="345"/>
        <v>10</v>
      </c>
      <c r="IC48" s="1709">
        <f t="shared" si="345"/>
        <v>0</v>
      </c>
      <c r="ID48" s="1709">
        <f t="shared" si="345"/>
        <v>0</v>
      </c>
      <c r="IE48" s="1709">
        <f t="shared" si="345"/>
        <v>0</v>
      </c>
      <c r="IF48" s="1709">
        <f t="shared" si="345"/>
        <v>0</v>
      </c>
      <c r="IG48" s="1709">
        <f t="shared" si="345"/>
        <v>0</v>
      </c>
      <c r="IH48" s="1709">
        <f t="shared" si="345"/>
        <v>0</v>
      </c>
      <c r="II48" s="1709">
        <f t="shared" si="345"/>
        <v>0</v>
      </c>
      <c r="IJ48" s="1709">
        <f t="shared" si="345"/>
        <v>0</v>
      </c>
      <c r="IK48" s="1709">
        <f t="shared" si="345"/>
        <v>0</v>
      </c>
      <c r="IL48" s="1709">
        <f t="shared" si="345"/>
        <v>0</v>
      </c>
      <c r="IM48" s="1709">
        <f t="shared" si="345"/>
        <v>0</v>
      </c>
      <c r="IN48" s="1709">
        <f t="shared" si="345"/>
        <v>0</v>
      </c>
      <c r="IO48" s="1709">
        <f t="shared" si="345"/>
        <v>0</v>
      </c>
      <c r="IP48" s="1709">
        <f t="shared" si="345"/>
        <v>0</v>
      </c>
      <c r="IQ48" s="1709">
        <f t="shared" si="345"/>
        <v>0</v>
      </c>
      <c r="IR48" s="1709">
        <f t="shared" si="345"/>
        <v>0</v>
      </c>
      <c r="IS48" s="1709">
        <f t="shared" si="345"/>
        <v>0</v>
      </c>
      <c r="IT48" s="1709">
        <f t="shared" si="345"/>
        <v>0</v>
      </c>
      <c r="IU48" s="1709">
        <f t="shared" si="345"/>
        <v>0</v>
      </c>
      <c r="IV48" s="1709">
        <f t="shared" si="345"/>
        <v>0</v>
      </c>
      <c r="IW48" s="1709">
        <f t="shared" si="345"/>
        <v>0</v>
      </c>
      <c r="IX48" s="1709">
        <f t="shared" si="345"/>
        <v>0</v>
      </c>
      <c r="IY48" s="1709">
        <f t="shared" si="345"/>
        <v>0</v>
      </c>
      <c r="IZ48" s="1709">
        <f t="shared" si="345"/>
        <v>0</v>
      </c>
      <c r="JA48" s="1709">
        <f t="shared" si="345"/>
        <v>0</v>
      </c>
      <c r="JB48" s="1709">
        <f t="shared" si="345"/>
        <v>0</v>
      </c>
      <c r="JC48" s="1709">
        <f t="shared" si="345"/>
        <v>0</v>
      </c>
      <c r="JD48" s="1709">
        <f t="shared" si="345"/>
        <v>0</v>
      </c>
      <c r="JE48" s="1709">
        <f t="shared" si="345"/>
        <v>0</v>
      </c>
      <c r="JF48" s="1709">
        <f t="shared" si="345"/>
        <v>0</v>
      </c>
      <c r="JG48" s="1709">
        <f t="shared" si="345"/>
        <v>0</v>
      </c>
      <c r="JH48" s="1709">
        <f t="shared" si="345"/>
        <v>0</v>
      </c>
      <c r="JI48" s="1709">
        <f t="shared" si="345"/>
        <v>0</v>
      </c>
      <c r="JJ48" s="1709">
        <f t="shared" si="345"/>
        <v>0</v>
      </c>
      <c r="JK48" s="1709">
        <f t="shared" si="345"/>
        <v>0</v>
      </c>
      <c r="JL48" s="1709">
        <f t="shared" si="345"/>
        <v>0</v>
      </c>
      <c r="JM48" s="1709">
        <f t="shared" si="345"/>
        <v>0</v>
      </c>
      <c r="JN48" s="1709">
        <f t="shared" si="345"/>
        <v>0</v>
      </c>
      <c r="JO48" s="1709">
        <f t="shared" si="345"/>
        <v>0</v>
      </c>
      <c r="JP48" s="1709">
        <f t="shared" si="345"/>
        <v>0</v>
      </c>
      <c r="JQ48" s="1709">
        <f t="shared" si="345"/>
        <v>0</v>
      </c>
      <c r="JR48" s="1709">
        <f t="shared" si="345"/>
        <v>0</v>
      </c>
      <c r="JS48" s="1709">
        <f t="shared" si="345"/>
        <v>0</v>
      </c>
      <c r="JT48" s="1709">
        <f t="shared" si="345"/>
        <v>0</v>
      </c>
      <c r="JU48" s="1709">
        <f t="shared" si="345"/>
        <v>0</v>
      </c>
      <c r="JV48" s="1709">
        <f t="shared" si="345"/>
        <v>0</v>
      </c>
      <c r="JW48" s="1709">
        <f t="shared" si="345"/>
        <v>0</v>
      </c>
      <c r="JX48" s="1709">
        <f t="shared" si="345"/>
        <v>0</v>
      </c>
      <c r="JY48" s="1709">
        <f t="shared" si="345"/>
        <v>0</v>
      </c>
      <c r="JZ48" s="1709">
        <f t="shared" si="345"/>
        <v>0</v>
      </c>
      <c r="KA48" s="1709">
        <f t="shared" si="345"/>
        <v>0</v>
      </c>
      <c r="KB48" s="1709">
        <f t="shared" si="345"/>
        <v>0</v>
      </c>
      <c r="KC48" s="1709">
        <f t="shared" si="345"/>
        <v>0</v>
      </c>
      <c r="KD48" s="1709">
        <f t="shared" si="345"/>
        <v>0</v>
      </c>
      <c r="KE48" s="1709">
        <f t="shared" si="345"/>
        <v>0</v>
      </c>
      <c r="KF48" s="1709">
        <f t="shared" si="345"/>
        <v>0</v>
      </c>
      <c r="KG48" s="1709">
        <f t="shared" si="345"/>
        <v>0</v>
      </c>
      <c r="KH48" s="1709">
        <f t="shared" si="345"/>
        <v>0</v>
      </c>
      <c r="KI48" s="1709">
        <f t="shared" ref="KI48:MT48" si="346">SUM(KI10:KI47)</f>
        <v>0</v>
      </c>
      <c r="KJ48" s="1709">
        <f t="shared" si="346"/>
        <v>0</v>
      </c>
      <c r="KK48" s="1709">
        <f t="shared" si="346"/>
        <v>0</v>
      </c>
      <c r="KL48" s="1709">
        <f t="shared" si="346"/>
        <v>0</v>
      </c>
      <c r="KM48" s="1709">
        <f t="shared" si="346"/>
        <v>32</v>
      </c>
      <c r="KN48" s="1709">
        <f t="shared" si="346"/>
        <v>42</v>
      </c>
      <c r="KO48" s="1709">
        <f t="shared" si="346"/>
        <v>10</v>
      </c>
      <c r="KP48" s="1709">
        <f t="shared" si="346"/>
        <v>0</v>
      </c>
      <c r="KQ48" s="1709">
        <f t="shared" si="346"/>
        <v>0</v>
      </c>
      <c r="KR48" s="1709">
        <f t="shared" si="346"/>
        <v>0</v>
      </c>
      <c r="KS48" s="1709">
        <f t="shared" si="346"/>
        <v>0</v>
      </c>
      <c r="KT48" s="1709">
        <f t="shared" si="346"/>
        <v>0</v>
      </c>
      <c r="KU48" s="1709">
        <f t="shared" si="346"/>
        <v>0</v>
      </c>
      <c r="KV48" s="1709">
        <f t="shared" si="346"/>
        <v>0</v>
      </c>
      <c r="KW48" s="1709">
        <f t="shared" si="346"/>
        <v>0</v>
      </c>
      <c r="KX48" s="1709">
        <f t="shared" si="346"/>
        <v>0</v>
      </c>
      <c r="KY48" s="1709">
        <f t="shared" si="346"/>
        <v>0</v>
      </c>
      <c r="KZ48" s="1709">
        <f t="shared" si="346"/>
        <v>0</v>
      </c>
      <c r="LA48" s="1709">
        <f t="shared" si="346"/>
        <v>0</v>
      </c>
      <c r="LB48" s="1709">
        <f t="shared" si="346"/>
        <v>0</v>
      </c>
      <c r="LC48" s="1709">
        <f t="shared" si="346"/>
        <v>0</v>
      </c>
      <c r="LD48" s="1709">
        <f t="shared" si="346"/>
        <v>0</v>
      </c>
      <c r="LE48" s="1709">
        <f t="shared" si="346"/>
        <v>0</v>
      </c>
      <c r="LF48" s="1709">
        <f t="shared" si="346"/>
        <v>0</v>
      </c>
      <c r="LG48" s="1709">
        <f t="shared" si="346"/>
        <v>0</v>
      </c>
      <c r="LH48" s="1709">
        <f t="shared" si="346"/>
        <v>0</v>
      </c>
      <c r="LI48" s="1709">
        <f t="shared" si="346"/>
        <v>0</v>
      </c>
      <c r="LJ48" s="1709">
        <f t="shared" si="346"/>
        <v>0</v>
      </c>
      <c r="LK48" s="1709">
        <f t="shared" si="346"/>
        <v>0</v>
      </c>
      <c r="LL48" s="1709">
        <f t="shared" si="346"/>
        <v>0</v>
      </c>
      <c r="LM48" s="1709">
        <f t="shared" si="346"/>
        <v>0</v>
      </c>
      <c r="LN48" s="1709">
        <f t="shared" si="346"/>
        <v>0</v>
      </c>
      <c r="LO48" s="1709">
        <f t="shared" si="346"/>
        <v>0</v>
      </c>
      <c r="LP48" s="1709">
        <f t="shared" si="346"/>
        <v>0</v>
      </c>
      <c r="LQ48" s="1709">
        <f t="shared" si="346"/>
        <v>0</v>
      </c>
      <c r="LR48" s="1709">
        <f t="shared" si="346"/>
        <v>0</v>
      </c>
      <c r="LS48" s="1709">
        <f t="shared" si="346"/>
        <v>0</v>
      </c>
      <c r="LT48" s="1709">
        <f t="shared" si="346"/>
        <v>0</v>
      </c>
      <c r="LU48" s="1709">
        <f t="shared" si="346"/>
        <v>0</v>
      </c>
      <c r="LV48" s="1709">
        <f t="shared" si="346"/>
        <v>0</v>
      </c>
      <c r="LW48" s="1709">
        <f t="shared" si="346"/>
        <v>0</v>
      </c>
      <c r="LX48" s="1709">
        <f t="shared" si="346"/>
        <v>0</v>
      </c>
      <c r="LY48" s="1709">
        <f t="shared" si="346"/>
        <v>0</v>
      </c>
      <c r="LZ48" s="1709">
        <f t="shared" si="346"/>
        <v>0</v>
      </c>
      <c r="MA48" s="1709">
        <f t="shared" si="346"/>
        <v>0</v>
      </c>
      <c r="MB48" s="1709">
        <f t="shared" si="346"/>
        <v>0</v>
      </c>
      <c r="MC48" s="1709">
        <f t="shared" si="346"/>
        <v>0</v>
      </c>
      <c r="MD48" s="1709">
        <f t="shared" si="346"/>
        <v>0</v>
      </c>
      <c r="ME48" s="1709">
        <f t="shared" si="346"/>
        <v>0</v>
      </c>
      <c r="MF48" s="1709">
        <f t="shared" si="346"/>
        <v>0</v>
      </c>
      <c r="MG48" s="1709">
        <f t="shared" si="346"/>
        <v>0</v>
      </c>
      <c r="MH48" s="1709">
        <f t="shared" si="346"/>
        <v>0</v>
      </c>
      <c r="MI48" s="1709">
        <f t="shared" si="346"/>
        <v>0</v>
      </c>
      <c r="MJ48" s="1709">
        <f t="shared" si="346"/>
        <v>0</v>
      </c>
      <c r="MK48" s="1709">
        <f t="shared" si="346"/>
        <v>32</v>
      </c>
      <c r="ML48" s="1709">
        <f t="shared" si="346"/>
        <v>42</v>
      </c>
      <c r="MM48" s="1709">
        <f t="shared" si="346"/>
        <v>10</v>
      </c>
      <c r="MN48" s="1709">
        <f t="shared" si="346"/>
        <v>0</v>
      </c>
      <c r="MO48" s="1709">
        <f t="shared" si="346"/>
        <v>0</v>
      </c>
      <c r="MP48" s="1709">
        <f t="shared" si="346"/>
        <v>0</v>
      </c>
      <c r="MQ48" s="1709">
        <f t="shared" si="346"/>
        <v>0</v>
      </c>
      <c r="MR48" s="1709">
        <f t="shared" si="346"/>
        <v>0</v>
      </c>
      <c r="MS48" s="1709">
        <f t="shared" si="346"/>
        <v>0</v>
      </c>
      <c r="MT48" s="1709">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221">
        <f>IF(SUM(E17:E47)=0,"",(B17*E17+B18*E18+B19*E19+B20*E20+B21*E21+B22*E22+B23*E23+B24*E24+B25*E25+B26*E26+B27*E27+B28*E28+B29*E29+B30*E30+B31*E31+B32*E32+B33*E33+B34*E34+B35*E35+B36*E36+B37*E37+B38*E38+B39*E39+B40*E40+B41*E41+B42*E42+B43*E43+B44*E44+B45*E45+B46*E46+B47*E47)/SUM(E17:E47))</f>
        <v>57.605633802816904</v>
      </c>
      <c r="C49" s="3222"/>
      <c r="D49" s="1747" t="s">
        <v>4286</v>
      </c>
      <c r="E49" s="1427">
        <f>SUM(E17:E47)</f>
        <v>71</v>
      </c>
      <c r="F49" s="1429">
        <f>(E17*F17+E18*F18+E19*F19+E20*F20+E21*F21+E22*F22+E23*F23+E24*F24+E25*F25+E26*F26+E27*F27+E28*F28+E29*F29+E30*F30+E31*F31+E32*F32+E33*F33+E34*F34+E35*F35+E36*F36+E37*F37+E38*F38+E39*F39+E40*F40+E41*F41+E42*F42+E43*F43+E44*F44+E45*F45+E46*F46+E47*F47)</f>
        <v>62730</v>
      </c>
      <c r="G49" s="3171"/>
      <c r="H49" s="2414" t="s">
        <v>4378</v>
      </c>
      <c r="I49" s="1432" t="str">
        <f>IF(O67=0,"",IF(SUM(O56:O62)/O67&gt;=0.2,"Pass","Fail"))</f>
        <v>Pass</v>
      </c>
      <c r="J49" s="571"/>
      <c r="K49" s="138" t="s">
        <v>802</v>
      </c>
      <c r="L49" s="123">
        <f>L48*12</f>
        <v>768504</v>
      </c>
      <c r="M49" s="94"/>
      <c r="N49" s="572"/>
      <c r="O49" s="94"/>
      <c r="P49" s="94"/>
      <c r="Q49" s="94"/>
      <c r="R49" s="94"/>
      <c r="S49" s="94"/>
      <c r="T49" s="94"/>
      <c r="U49" s="94"/>
      <c r="V49" s="574"/>
      <c r="W49" s="1709"/>
      <c r="X49" s="1709"/>
      <c r="Y49" s="1709"/>
      <c r="Z49" s="1709"/>
      <c r="AA49" s="1709"/>
      <c r="AB49" s="1709"/>
      <c r="AC49" s="1709"/>
      <c r="AD49" s="1709"/>
      <c r="AE49" s="1709"/>
      <c r="AF49" s="1709"/>
      <c r="AG49" s="1709"/>
      <c r="AH49" s="1709"/>
      <c r="AI49" s="1709"/>
      <c r="AJ49" s="1709"/>
      <c r="AK49" s="1709"/>
      <c r="AL49" s="1709"/>
      <c r="AM49" s="1709"/>
      <c r="AN49" s="1709"/>
      <c r="AO49" s="1709"/>
      <c r="AP49" s="1709"/>
      <c r="AQ49" s="1709"/>
      <c r="AR49" s="1709"/>
      <c r="AS49" s="1709"/>
      <c r="AT49" s="1709"/>
      <c r="AU49" s="1709"/>
      <c r="AV49" s="1709"/>
      <c r="AW49" s="1709"/>
      <c r="AX49" s="1709"/>
      <c r="AY49" s="1709"/>
      <c r="AZ49" s="1709"/>
      <c r="BA49" s="1709"/>
      <c r="BB49" s="1709"/>
      <c r="BC49" s="1709"/>
      <c r="BD49" s="1709"/>
      <c r="BE49" s="1709"/>
      <c r="BF49" s="1709"/>
      <c r="BG49" s="1709"/>
      <c r="BH49" s="1709"/>
      <c r="BI49" s="1709"/>
      <c r="BJ49" s="1709"/>
      <c r="BK49" s="1709"/>
      <c r="BL49" s="1709"/>
      <c r="BM49" s="1709"/>
      <c r="BN49" s="1709"/>
      <c r="BO49" s="1709"/>
      <c r="BP49" s="1709"/>
      <c r="BQ49" s="1709"/>
      <c r="BR49" s="1709"/>
      <c r="BS49" s="1709"/>
      <c r="BT49" s="1709"/>
      <c r="BU49" s="1709"/>
      <c r="BV49" s="1709"/>
      <c r="BW49" s="1709"/>
      <c r="BX49" s="1709"/>
      <c r="BY49" s="1709"/>
      <c r="BZ49" s="1709"/>
      <c r="CA49" s="1709"/>
      <c r="CB49" s="1709"/>
      <c r="CC49" s="1709"/>
      <c r="CD49" s="1709"/>
      <c r="CE49" s="1709"/>
      <c r="CF49" s="1709"/>
      <c r="CG49" s="1709"/>
      <c r="CH49" s="1709"/>
      <c r="CI49" s="1709"/>
      <c r="CJ49" s="1709"/>
      <c r="CK49" s="1709"/>
      <c r="CL49" s="1709"/>
      <c r="CM49" s="1709"/>
      <c r="CN49" s="1709"/>
      <c r="CO49" s="1709"/>
      <c r="CP49" s="1709"/>
      <c r="CQ49" s="1709"/>
      <c r="CR49" s="1709"/>
      <c r="CS49" s="1709"/>
      <c r="CT49" s="1709"/>
      <c r="CU49" s="1709"/>
      <c r="CV49" s="1709"/>
      <c r="CW49" s="1709"/>
      <c r="CX49" s="1709"/>
      <c r="CY49" s="1709"/>
      <c r="CZ49" s="1709"/>
      <c r="DA49" s="1709"/>
      <c r="DB49" s="1709"/>
      <c r="DC49" s="1709"/>
      <c r="DD49" s="1709"/>
      <c r="DE49" s="1709"/>
      <c r="DF49" s="1709"/>
      <c r="DG49" s="1709"/>
      <c r="DH49" s="1709"/>
      <c r="DI49" s="1709"/>
      <c r="DJ49" s="1709"/>
      <c r="DK49" s="1709"/>
      <c r="DL49" s="1709"/>
      <c r="DM49" s="1709"/>
      <c r="DN49" s="1709"/>
      <c r="DO49" s="1709"/>
      <c r="DP49" s="1709"/>
      <c r="DQ49" s="1709"/>
      <c r="DR49" s="1709"/>
      <c r="DS49" s="1709"/>
      <c r="DT49" s="1709"/>
      <c r="DU49" s="1709"/>
      <c r="DV49" s="1709"/>
      <c r="DW49" s="1709"/>
      <c r="DX49" s="1709"/>
      <c r="DY49" s="1709"/>
      <c r="DZ49" s="1709"/>
      <c r="EA49" s="1709"/>
      <c r="EB49" s="1709"/>
      <c r="EC49" s="1709"/>
      <c r="ED49" s="1709"/>
      <c r="EE49" s="1709"/>
      <c r="EF49" s="1709"/>
      <c r="EG49" s="1709"/>
      <c r="EH49" s="1709"/>
      <c r="EI49" s="1709"/>
      <c r="EJ49" s="1709"/>
      <c r="EK49" s="1709"/>
      <c r="EL49" s="1709"/>
      <c r="EM49" s="1709"/>
      <c r="EN49" s="1709"/>
      <c r="EO49" s="1709"/>
      <c r="EP49" s="1709"/>
      <c r="EQ49" s="1709"/>
      <c r="ER49" s="1709"/>
      <c r="ES49" s="1709"/>
      <c r="ET49" s="1709"/>
      <c r="EU49" s="1709"/>
      <c r="EV49" s="1709"/>
      <c r="EW49" s="1709"/>
      <c r="EX49" s="1709"/>
      <c r="EY49" s="1709"/>
      <c r="EZ49" s="1709"/>
      <c r="FA49" s="1709"/>
      <c r="FB49" s="1709"/>
      <c r="FC49" s="1709"/>
      <c r="FD49" s="1709"/>
      <c r="FE49" s="1709"/>
      <c r="FF49" s="1709"/>
      <c r="FG49" s="1709"/>
      <c r="FH49" s="1709"/>
      <c r="FI49" s="1709"/>
      <c r="FJ49" s="1709"/>
      <c r="FK49" s="1709"/>
      <c r="FL49" s="1709"/>
      <c r="FM49" s="1709"/>
      <c r="FN49" s="1709"/>
      <c r="FO49" s="1709"/>
      <c r="FP49" s="1709"/>
      <c r="FQ49" s="1709"/>
      <c r="FR49" s="1709"/>
      <c r="FS49" s="1709"/>
      <c r="FT49" s="1709"/>
      <c r="FU49" s="1709"/>
      <c r="FV49" s="1709"/>
      <c r="FW49" s="1709"/>
      <c r="FX49" s="1709"/>
      <c r="FY49" s="1709"/>
      <c r="FZ49" s="1709"/>
      <c r="GA49" s="1709"/>
      <c r="GB49" s="1709"/>
      <c r="GC49" s="1709"/>
      <c r="GD49" s="1709"/>
      <c r="GE49" s="1709"/>
      <c r="GF49" s="1709"/>
      <c r="GG49" s="1709"/>
      <c r="GH49" s="1709"/>
      <c r="GI49" s="1709"/>
      <c r="GJ49" s="1709"/>
      <c r="GK49" s="1709"/>
      <c r="GL49" s="1709"/>
      <c r="GM49" s="1709"/>
      <c r="GN49" s="1709"/>
      <c r="GO49" s="1709"/>
      <c r="GP49" s="1709"/>
      <c r="GQ49" s="1709"/>
      <c r="GR49" s="1709"/>
      <c r="GS49" s="1709"/>
      <c r="GT49" s="1709"/>
      <c r="GU49" s="1709"/>
      <c r="GV49" s="1709"/>
      <c r="GW49" s="1709"/>
      <c r="GX49" s="1709"/>
      <c r="GY49" s="1709"/>
      <c r="GZ49" s="1709"/>
      <c r="HA49" s="1709"/>
      <c r="HB49" s="1709"/>
      <c r="HC49" s="1709"/>
      <c r="HD49" s="1709"/>
      <c r="HE49" s="1709"/>
      <c r="HF49" s="1709"/>
      <c r="HG49" s="1709"/>
      <c r="HH49" s="1709"/>
      <c r="HI49" s="1709"/>
      <c r="HJ49" s="1709"/>
      <c r="HK49" s="1709"/>
      <c r="HL49" s="1709"/>
      <c r="HM49" s="1709"/>
      <c r="HN49" s="1709"/>
      <c r="HO49" s="1709"/>
      <c r="HP49" s="1709"/>
      <c r="HQ49" s="1709"/>
      <c r="HR49" s="1709"/>
      <c r="HS49" s="1709"/>
      <c r="HT49" s="1709"/>
      <c r="HU49" s="1709"/>
      <c r="HV49" s="1709"/>
      <c r="HW49" s="1709"/>
      <c r="HX49" s="1709"/>
      <c r="HY49" s="1709"/>
      <c r="HZ49" s="1709"/>
      <c r="IA49" s="1709"/>
      <c r="IB49" s="1709"/>
      <c r="IC49" s="1709"/>
      <c r="ID49" s="1709"/>
      <c r="IE49" s="1709"/>
      <c r="IF49" s="1709"/>
      <c r="IG49" s="1709"/>
      <c r="IH49" s="1709"/>
      <c r="II49" s="1709"/>
      <c r="IJ49" s="1709"/>
      <c r="IK49" s="1709"/>
      <c r="IL49" s="1709"/>
      <c r="IM49" s="1709"/>
      <c r="IN49" s="1709"/>
      <c r="IO49" s="1709"/>
      <c r="IP49" s="1709"/>
      <c r="IQ49" s="1709"/>
      <c r="IR49" s="1709"/>
      <c r="IS49" s="1709"/>
      <c r="IT49" s="1709"/>
      <c r="IU49" s="1709"/>
      <c r="IV49" s="1709"/>
      <c r="IW49" s="1709"/>
      <c r="IX49" s="1709"/>
      <c r="IY49" s="1709"/>
      <c r="IZ49" s="1709"/>
      <c r="JA49" s="1709"/>
      <c r="JB49" s="1709"/>
      <c r="JC49" s="1709"/>
      <c r="JD49" s="1709"/>
      <c r="JE49" s="1709"/>
      <c r="JF49" s="1709"/>
      <c r="JG49" s="1709"/>
      <c r="JH49" s="1709"/>
      <c r="JI49" s="1709"/>
      <c r="JJ49" s="1709"/>
      <c r="JK49" s="1709"/>
      <c r="JL49" s="1709"/>
      <c r="JM49" s="1709"/>
      <c r="JN49" s="1709"/>
      <c r="JO49" s="1709"/>
      <c r="JP49" s="1709"/>
      <c r="JQ49" s="1709"/>
      <c r="JR49" s="1709"/>
      <c r="JS49" s="1709"/>
      <c r="JT49" s="1709"/>
      <c r="JU49" s="1709"/>
      <c r="JV49" s="1709"/>
      <c r="JW49" s="1709"/>
      <c r="JX49" s="1709"/>
      <c r="JY49" s="1709"/>
      <c r="JZ49" s="1709"/>
      <c r="KA49" s="1709"/>
      <c r="KB49" s="1709"/>
      <c r="KC49" s="1709"/>
      <c r="KD49" s="1709"/>
      <c r="KE49" s="1709"/>
      <c r="KF49" s="1709"/>
      <c r="KG49" s="1709"/>
      <c r="KH49" s="1709"/>
      <c r="KI49" s="1709"/>
      <c r="KJ49" s="1709"/>
      <c r="KK49" s="1709"/>
      <c r="KL49" s="1709"/>
      <c r="KM49" s="1709"/>
      <c r="KN49" s="1709"/>
      <c r="KO49" s="1709"/>
      <c r="KP49" s="1709"/>
      <c r="KQ49" s="1709"/>
      <c r="KR49" s="1709"/>
      <c r="KS49" s="1709"/>
      <c r="KT49" s="1709"/>
      <c r="KU49" s="1709"/>
      <c r="KV49" s="1709"/>
      <c r="KW49" s="1709"/>
      <c r="KX49" s="1709"/>
      <c r="KY49" s="1709"/>
      <c r="KZ49" s="1709"/>
      <c r="LA49" s="1709"/>
      <c r="LB49" s="1709"/>
      <c r="LC49" s="1709"/>
      <c r="LD49" s="1709"/>
      <c r="LE49" s="1709"/>
      <c r="LF49" s="1709"/>
      <c r="LG49" s="1709"/>
      <c r="LH49" s="1709"/>
      <c r="LI49" s="1709"/>
      <c r="LJ49" s="1709"/>
      <c r="LK49" s="1709"/>
      <c r="LL49" s="1709"/>
      <c r="LM49" s="1709"/>
      <c r="LN49" s="1709"/>
      <c r="LO49" s="1709"/>
      <c r="LP49" s="1709"/>
      <c r="LQ49" s="1709"/>
      <c r="LR49" s="1709"/>
      <c r="LS49" s="1709"/>
      <c r="LT49" s="1709"/>
      <c r="LU49" s="1709"/>
      <c r="LV49" s="1709"/>
      <c r="LW49" s="1709"/>
      <c r="LX49" s="1709"/>
      <c r="LY49" s="1709"/>
      <c r="LZ49" s="1709"/>
      <c r="MA49" s="1709"/>
      <c r="MB49" s="1709"/>
      <c r="MC49" s="1709"/>
      <c r="MD49" s="1709"/>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1709"/>
      <c r="X50" s="1709"/>
      <c r="Y50" s="1709"/>
      <c r="Z50" s="1709"/>
      <c r="AA50" s="1709"/>
      <c r="AB50" s="1709"/>
      <c r="AC50" s="1709"/>
      <c r="AD50" s="1709"/>
      <c r="AE50" s="1709"/>
      <c r="AF50" s="1709"/>
      <c r="AG50" s="1709"/>
      <c r="AH50" s="1709"/>
      <c r="AI50" s="1709"/>
      <c r="AJ50" s="1709"/>
      <c r="AK50" s="1709"/>
      <c r="AL50" s="1709"/>
      <c r="AM50" s="1709"/>
      <c r="AN50" s="1709"/>
      <c r="AO50" s="1709"/>
      <c r="AP50" s="1709"/>
      <c r="AQ50" s="1709"/>
      <c r="AR50" s="1709"/>
      <c r="AS50" s="1709"/>
      <c r="AT50" s="1709"/>
      <c r="AU50" s="1709"/>
      <c r="AV50" s="1709"/>
      <c r="AW50" s="1709"/>
      <c r="AX50" s="1709"/>
      <c r="AY50" s="1709"/>
      <c r="AZ50" s="1709"/>
      <c r="BA50" s="1709"/>
      <c r="BB50" s="1709"/>
      <c r="BC50" s="1709"/>
      <c r="BD50" s="1709"/>
      <c r="BE50" s="1709"/>
      <c r="BF50" s="1709"/>
      <c r="BG50" s="1709"/>
      <c r="BH50" s="1709"/>
      <c r="BI50" s="1709"/>
      <c r="BJ50" s="1709"/>
      <c r="BK50" s="1709"/>
      <c r="BL50" s="1709"/>
      <c r="BM50" s="1709"/>
      <c r="BN50" s="1709"/>
      <c r="BO50" s="1709"/>
      <c r="BP50" s="1709"/>
      <c r="BQ50" s="1709"/>
      <c r="BR50" s="1709"/>
      <c r="BS50" s="1709"/>
      <c r="BT50" s="1709"/>
      <c r="BU50" s="1709"/>
      <c r="BV50" s="1709"/>
      <c r="BW50" s="1709"/>
      <c r="BX50" s="1709"/>
      <c r="BY50" s="1709"/>
      <c r="BZ50" s="1709"/>
      <c r="CA50" s="1709"/>
      <c r="CB50" s="1709"/>
      <c r="CC50" s="1709"/>
      <c r="CD50" s="1709"/>
      <c r="CE50" s="1709"/>
      <c r="CF50" s="1709"/>
      <c r="CG50" s="1709"/>
      <c r="CH50" s="1709"/>
      <c r="CI50" s="1709"/>
      <c r="CJ50" s="1709"/>
      <c r="CK50" s="1709"/>
      <c r="CL50" s="1709"/>
      <c r="CM50" s="1709"/>
      <c r="CN50" s="1709"/>
      <c r="CO50" s="1709"/>
      <c r="CP50" s="1709"/>
      <c r="CQ50" s="1709"/>
      <c r="CR50" s="1709"/>
      <c r="CS50" s="1709"/>
      <c r="CT50" s="1709"/>
      <c r="CU50" s="1709"/>
      <c r="CV50" s="1709"/>
      <c r="CW50" s="1709"/>
      <c r="CX50" s="1709"/>
      <c r="CY50" s="1709"/>
      <c r="CZ50" s="1709"/>
      <c r="DA50" s="1709"/>
      <c r="DB50" s="1709"/>
      <c r="DC50" s="1709"/>
      <c r="DD50" s="1709"/>
      <c r="DE50" s="1709"/>
      <c r="DF50" s="1709"/>
      <c r="DG50" s="1709"/>
      <c r="DH50" s="1709"/>
      <c r="DI50" s="1709"/>
      <c r="DJ50" s="1709"/>
      <c r="DK50" s="1709"/>
      <c r="DL50" s="1709"/>
      <c r="DM50" s="1709"/>
      <c r="DN50" s="1709"/>
      <c r="DO50" s="1709"/>
      <c r="DP50" s="1709"/>
      <c r="DQ50" s="1709"/>
      <c r="DR50" s="1709"/>
      <c r="DS50" s="1709"/>
      <c r="DT50" s="1709"/>
      <c r="DU50" s="1709"/>
      <c r="DV50" s="1709"/>
      <c r="DW50" s="1709"/>
      <c r="DX50" s="1709"/>
      <c r="DY50" s="1709"/>
      <c r="DZ50" s="1709"/>
      <c r="EA50" s="1709"/>
      <c r="EB50" s="1709"/>
      <c r="EC50" s="1709"/>
      <c r="ED50" s="1709"/>
      <c r="EE50" s="1709"/>
      <c r="EF50" s="1709"/>
      <c r="EG50" s="1709"/>
      <c r="EH50" s="1709"/>
      <c r="EI50" s="1709"/>
      <c r="EJ50" s="1709"/>
      <c r="EK50" s="1709"/>
      <c r="EL50" s="1709"/>
      <c r="EM50" s="1709"/>
      <c r="EN50" s="1709"/>
      <c r="EO50" s="1709"/>
      <c r="EP50" s="1709"/>
      <c r="EQ50" s="1709"/>
      <c r="ER50" s="1709"/>
      <c r="ES50" s="1709"/>
      <c r="ET50" s="1709"/>
      <c r="EU50" s="1709"/>
      <c r="EV50" s="1709"/>
      <c r="EW50" s="1709"/>
      <c r="EX50" s="1709"/>
      <c r="EY50" s="1709"/>
      <c r="EZ50" s="1709"/>
      <c r="FA50" s="1709"/>
      <c r="FB50" s="1709"/>
      <c r="FC50" s="1709"/>
      <c r="FD50" s="1709"/>
      <c r="FE50" s="1709"/>
      <c r="FF50" s="1709"/>
      <c r="FG50" s="1709"/>
      <c r="FH50" s="1709"/>
      <c r="FI50" s="1709"/>
      <c r="FJ50" s="1709"/>
      <c r="FK50" s="1709"/>
      <c r="FL50" s="1709"/>
      <c r="FM50" s="1709"/>
      <c r="FN50" s="1709"/>
      <c r="FO50" s="1709"/>
      <c r="FP50" s="1709"/>
      <c r="FQ50" s="1709"/>
      <c r="FR50" s="1709"/>
      <c r="FS50" s="1709"/>
      <c r="FT50" s="1709"/>
      <c r="FU50" s="1709"/>
      <c r="FV50" s="1709"/>
      <c r="FW50" s="1709"/>
      <c r="FX50" s="1709"/>
      <c r="FY50" s="1709"/>
      <c r="FZ50" s="1709"/>
      <c r="GA50" s="1709"/>
      <c r="GB50" s="1709"/>
      <c r="GC50" s="1709"/>
      <c r="GD50" s="1709"/>
      <c r="GE50" s="1709"/>
      <c r="GF50" s="1709"/>
      <c r="GG50" s="1709"/>
      <c r="GH50" s="1709"/>
      <c r="GI50" s="1709"/>
      <c r="GJ50" s="1709"/>
      <c r="GK50" s="1709"/>
      <c r="GL50" s="1709"/>
      <c r="GM50" s="1709"/>
      <c r="GN50" s="1709"/>
      <c r="GO50" s="1709"/>
      <c r="GP50" s="1709"/>
      <c r="GQ50" s="1709"/>
      <c r="GR50" s="1709"/>
      <c r="GS50" s="1709"/>
      <c r="GT50" s="1709"/>
      <c r="GU50" s="1709"/>
      <c r="GV50" s="1709"/>
      <c r="GW50" s="1709"/>
      <c r="GX50" s="1709"/>
      <c r="GY50" s="1709"/>
      <c r="GZ50" s="1709"/>
      <c r="HA50" s="1709"/>
      <c r="HB50" s="1709"/>
      <c r="HC50" s="1709"/>
      <c r="HD50" s="1709"/>
      <c r="HE50" s="1709"/>
      <c r="HF50" s="1709"/>
      <c r="HG50" s="1709"/>
      <c r="HH50" s="1709"/>
      <c r="HI50" s="1709"/>
      <c r="HJ50" s="1709"/>
      <c r="HK50" s="1709"/>
      <c r="HL50" s="1709"/>
      <c r="HM50" s="1709"/>
      <c r="HN50" s="1709"/>
      <c r="HO50" s="1709"/>
      <c r="HP50" s="1709"/>
      <c r="HQ50" s="1709"/>
      <c r="HR50" s="1709"/>
      <c r="HS50" s="1709"/>
      <c r="HT50" s="1709"/>
      <c r="HU50" s="1709"/>
      <c r="HV50" s="1709"/>
      <c r="HW50" s="1709"/>
      <c r="HX50" s="1709"/>
      <c r="HY50" s="1709"/>
      <c r="HZ50" s="1709"/>
      <c r="IA50" s="1709"/>
      <c r="IB50" s="1709"/>
      <c r="IC50" s="1709"/>
      <c r="ID50" s="1709"/>
      <c r="IE50" s="1709"/>
      <c r="IF50" s="1709"/>
      <c r="IG50" s="1709"/>
      <c r="IH50" s="1709"/>
      <c r="II50" s="1709"/>
      <c r="IJ50" s="1709"/>
      <c r="IK50" s="1709"/>
      <c r="IL50" s="1709"/>
      <c r="IM50" s="1709"/>
      <c r="IN50" s="1709"/>
      <c r="IO50" s="1709"/>
      <c r="IP50" s="1709"/>
      <c r="IQ50" s="1709"/>
      <c r="IR50" s="1709"/>
      <c r="IS50" s="1709"/>
      <c r="IT50" s="1709"/>
      <c r="IU50" s="1709"/>
      <c r="IV50" s="1709"/>
      <c r="IW50" s="1709"/>
      <c r="IX50" s="1709"/>
      <c r="IY50" s="1709"/>
      <c r="IZ50" s="1709"/>
      <c r="JA50" s="1709"/>
      <c r="JB50" s="1709"/>
      <c r="JC50" s="1709"/>
      <c r="JD50" s="1709"/>
      <c r="JE50" s="1709"/>
      <c r="JF50" s="1709"/>
      <c r="JG50" s="1709"/>
      <c r="JH50" s="1709"/>
      <c r="JI50" s="1709"/>
      <c r="JJ50" s="1709"/>
      <c r="JK50" s="1709"/>
      <c r="JL50" s="1709"/>
      <c r="JM50" s="1709"/>
      <c r="JN50" s="1709"/>
      <c r="JO50" s="1709"/>
      <c r="JP50" s="1709"/>
      <c r="JQ50" s="1709"/>
      <c r="JR50" s="1709"/>
      <c r="JS50" s="1709"/>
      <c r="JT50" s="1709"/>
      <c r="JU50" s="1709"/>
      <c r="JV50" s="1709"/>
      <c r="JW50" s="1709"/>
      <c r="JX50" s="1709"/>
      <c r="JY50" s="1709"/>
      <c r="JZ50" s="1709"/>
      <c r="KA50" s="1709"/>
      <c r="KB50" s="1709"/>
      <c r="KC50" s="1709"/>
      <c r="KD50" s="1709"/>
      <c r="KE50" s="1709"/>
      <c r="KF50" s="1709"/>
      <c r="KG50" s="1709"/>
      <c r="KH50" s="1709"/>
      <c r="KI50" s="1709"/>
      <c r="KJ50" s="1709"/>
      <c r="KK50" s="1709"/>
      <c r="KL50" s="1709"/>
      <c r="KM50" s="1709"/>
      <c r="KN50" s="1709"/>
      <c r="KO50" s="1709"/>
      <c r="KP50" s="1709"/>
      <c r="KQ50" s="1709"/>
      <c r="KR50" s="1709"/>
      <c r="KS50" s="1709"/>
      <c r="KT50" s="1709"/>
      <c r="KU50" s="1709"/>
      <c r="KV50" s="1709"/>
      <c r="KW50" s="1709"/>
      <c r="KX50" s="1709"/>
      <c r="KY50" s="1709"/>
      <c r="KZ50" s="1709"/>
      <c r="LA50" s="1709"/>
      <c r="LB50" s="1709"/>
      <c r="LC50" s="1709"/>
      <c r="LD50" s="1709"/>
      <c r="LE50" s="1709"/>
      <c r="LF50" s="1709"/>
      <c r="LG50" s="1709"/>
      <c r="LH50" s="1709"/>
      <c r="LI50" s="1709"/>
      <c r="LJ50" s="1709"/>
      <c r="LK50" s="1709"/>
      <c r="LL50" s="1709"/>
      <c r="LM50" s="1709"/>
      <c r="LN50" s="1709"/>
      <c r="LO50" s="1709"/>
      <c r="LP50" s="1709"/>
      <c r="LQ50" s="1709"/>
      <c r="LR50" s="1709"/>
      <c r="LS50" s="1709"/>
      <c r="LT50" s="1709"/>
      <c r="LU50" s="1709"/>
      <c r="LV50" s="1709"/>
      <c r="LW50" s="1709"/>
      <c r="LX50" s="1709"/>
      <c r="LY50" s="1709"/>
      <c r="LZ50" s="1709"/>
      <c r="MA50" s="1709"/>
      <c r="MB50" s="1709"/>
      <c r="MC50" s="1709"/>
      <c r="MD50" s="1709"/>
    </row>
    <row r="51" spans="1:393" ht="12" customHeight="1">
      <c r="A51" s="3217" t="s">
        <v>2587</v>
      </c>
      <c r="B51" s="3218"/>
      <c r="C51" s="3218"/>
      <c r="D51" s="3218"/>
      <c r="E51" s="3218"/>
      <c r="F51" s="3218"/>
      <c r="G51" s="3218"/>
      <c r="H51" s="3218"/>
      <c r="I51" s="3218"/>
      <c r="J51" s="3218"/>
      <c r="K51" s="3218"/>
      <c r="L51" s="3218"/>
      <c r="M51" s="3218"/>
      <c r="N51" s="3218"/>
      <c r="O51" s="3218"/>
      <c r="P51" s="3218"/>
      <c r="Q51" s="2415"/>
      <c r="R51" s="90"/>
      <c r="S51" s="90"/>
      <c r="T51" s="90"/>
      <c r="U51" s="90"/>
      <c r="V51" s="291"/>
      <c r="W51" s="1709"/>
      <c r="X51" s="1709"/>
      <c r="Y51" s="1709"/>
      <c r="Z51" s="1709"/>
      <c r="AA51" s="1709"/>
      <c r="AB51" s="1709"/>
      <c r="AC51" s="1709"/>
      <c r="AD51" s="1709"/>
      <c r="AE51" s="1709"/>
      <c r="AF51" s="1709"/>
      <c r="AG51" s="1709"/>
      <c r="AH51" s="1709"/>
      <c r="AI51" s="1709"/>
      <c r="AJ51" s="1709"/>
      <c r="AK51" s="1709"/>
      <c r="AL51" s="1709"/>
      <c r="AM51" s="1709"/>
      <c r="AN51" s="1709"/>
      <c r="AO51" s="1709"/>
      <c r="AP51" s="1709"/>
      <c r="AQ51" s="1709"/>
      <c r="AR51" s="1709"/>
      <c r="AS51" s="1709"/>
      <c r="AT51" s="1709"/>
      <c r="AU51" s="1709"/>
      <c r="AV51" s="1709"/>
      <c r="AW51" s="1709"/>
      <c r="AX51" s="1709"/>
      <c r="AY51" s="1709"/>
      <c r="AZ51" s="1709"/>
      <c r="BA51" s="1709"/>
      <c r="BB51" s="1709"/>
      <c r="BC51" s="1709"/>
      <c r="BD51" s="1709"/>
      <c r="BE51" s="1709"/>
      <c r="BF51" s="1709"/>
      <c r="BG51" s="1709"/>
      <c r="BH51" s="1709"/>
      <c r="BI51" s="1709"/>
      <c r="BJ51" s="1709"/>
      <c r="BK51" s="1709"/>
      <c r="BL51" s="1709"/>
      <c r="BM51" s="1709"/>
      <c r="BN51" s="1709"/>
      <c r="BO51" s="1709"/>
      <c r="BP51" s="1709"/>
      <c r="BQ51" s="1709"/>
      <c r="BR51" s="1709"/>
      <c r="BS51" s="1709"/>
      <c r="BT51" s="1709"/>
      <c r="BU51" s="1709"/>
      <c r="BV51" s="1709"/>
      <c r="BW51" s="1709"/>
      <c r="BX51" s="1709"/>
      <c r="BY51" s="1709"/>
      <c r="BZ51" s="1709"/>
      <c r="CA51" s="1709"/>
      <c r="CB51" s="1709"/>
      <c r="CC51" s="1709"/>
      <c r="CD51" s="1709"/>
      <c r="CE51" s="1709"/>
      <c r="CF51" s="1709"/>
      <c r="CG51" s="1709"/>
      <c r="CH51" s="1709"/>
      <c r="CI51" s="1709"/>
      <c r="CJ51" s="1709"/>
      <c r="CK51" s="1709"/>
      <c r="CL51" s="1709"/>
      <c r="CM51" s="1709"/>
      <c r="CN51" s="1709"/>
      <c r="CO51" s="1709"/>
      <c r="CP51" s="1709"/>
      <c r="CQ51" s="1709"/>
      <c r="CR51" s="1709"/>
      <c r="CS51" s="1709"/>
      <c r="CT51" s="1709"/>
      <c r="CU51" s="1709"/>
      <c r="CV51" s="1709"/>
      <c r="CW51" s="1709"/>
      <c r="CX51" s="1709"/>
      <c r="CY51" s="1709"/>
      <c r="CZ51" s="1709"/>
      <c r="DA51" s="1709"/>
      <c r="DB51" s="1709"/>
      <c r="DC51" s="1709"/>
      <c r="DD51" s="1709"/>
      <c r="DE51" s="1709"/>
      <c r="DF51" s="1709"/>
      <c r="DG51" s="1709"/>
      <c r="DH51" s="1709"/>
      <c r="DI51" s="1709"/>
      <c r="DJ51" s="1709"/>
      <c r="DK51" s="1709"/>
      <c r="DL51" s="1709"/>
      <c r="DM51" s="1709"/>
      <c r="DN51" s="1709"/>
      <c r="DO51" s="1709"/>
      <c r="DP51" s="1709"/>
      <c r="DQ51" s="1709"/>
      <c r="DR51" s="1709"/>
      <c r="DS51" s="1709"/>
      <c r="DT51" s="1709"/>
      <c r="DU51" s="1709"/>
      <c r="DV51" s="1709"/>
      <c r="DW51" s="1709"/>
      <c r="DX51" s="1709"/>
      <c r="DY51" s="1709"/>
      <c r="DZ51" s="1709"/>
      <c r="EA51" s="1709"/>
      <c r="EB51" s="1709"/>
      <c r="EC51" s="1709"/>
      <c r="ED51" s="1709"/>
      <c r="EE51" s="1709"/>
      <c r="EF51" s="1709"/>
      <c r="EG51" s="1709"/>
      <c r="EH51" s="1709"/>
      <c r="EI51" s="1709"/>
      <c r="EJ51" s="1709"/>
      <c r="EK51" s="1709"/>
      <c r="EL51" s="1709"/>
      <c r="EM51" s="1709"/>
      <c r="EN51" s="1709"/>
      <c r="EO51" s="1709"/>
      <c r="EP51" s="1709"/>
      <c r="EQ51" s="1709"/>
      <c r="ER51" s="1709"/>
      <c r="ES51" s="1709"/>
      <c r="ET51" s="1709"/>
      <c r="EU51" s="1709"/>
      <c r="EV51" s="1709"/>
      <c r="EW51" s="1709"/>
      <c r="EX51" s="1709"/>
      <c r="EY51" s="1709"/>
      <c r="EZ51" s="1709"/>
      <c r="FA51" s="1709"/>
      <c r="FB51" s="1709"/>
      <c r="FC51" s="1709"/>
      <c r="FD51" s="1709"/>
      <c r="FE51" s="1709"/>
      <c r="FF51" s="1709"/>
      <c r="FG51" s="1709"/>
      <c r="FH51" s="1709"/>
      <c r="FI51" s="1709"/>
      <c r="FJ51" s="1709"/>
      <c r="FK51" s="1709"/>
      <c r="FL51" s="1709"/>
      <c r="FM51" s="1709"/>
      <c r="FN51" s="1709"/>
      <c r="FO51" s="1709"/>
      <c r="FP51" s="1709"/>
      <c r="FQ51" s="1709"/>
      <c r="FR51" s="1709"/>
      <c r="FS51" s="1709"/>
      <c r="FT51" s="1709"/>
      <c r="FU51" s="1709"/>
      <c r="FV51" s="1709"/>
      <c r="FW51" s="1709"/>
      <c r="FX51" s="1709"/>
      <c r="FY51" s="1709"/>
      <c r="FZ51" s="1709"/>
      <c r="GA51" s="1709"/>
      <c r="GB51" s="1709"/>
      <c r="GC51" s="1709"/>
      <c r="GD51" s="1709"/>
      <c r="GE51" s="1709"/>
      <c r="GF51" s="1709"/>
      <c r="GG51" s="1709"/>
      <c r="GH51" s="1709"/>
      <c r="GI51" s="1709"/>
      <c r="GJ51" s="1709"/>
      <c r="GK51" s="1709"/>
      <c r="GL51" s="1709"/>
      <c r="GM51" s="1709"/>
      <c r="GN51" s="1709"/>
      <c r="GO51" s="1709"/>
      <c r="GP51" s="1709"/>
      <c r="GQ51" s="1709"/>
      <c r="GR51" s="1709"/>
      <c r="GS51" s="1709"/>
      <c r="GT51" s="1709"/>
      <c r="GU51" s="1709"/>
      <c r="GV51" s="1709"/>
      <c r="GW51" s="1709"/>
      <c r="GX51" s="1709"/>
      <c r="GY51" s="1709"/>
      <c r="GZ51" s="1709"/>
      <c r="HA51" s="1709"/>
      <c r="HB51" s="1709"/>
      <c r="HC51" s="1709"/>
      <c r="HD51" s="1709"/>
      <c r="HE51" s="1709"/>
      <c r="HF51" s="1709"/>
      <c r="HG51" s="1709"/>
      <c r="HH51" s="1709"/>
      <c r="HI51" s="1709"/>
      <c r="HJ51" s="1709"/>
      <c r="HK51" s="1709"/>
      <c r="HL51" s="1709"/>
      <c r="HM51" s="1709"/>
      <c r="HN51" s="1709"/>
      <c r="HO51" s="1709"/>
      <c r="HP51" s="1709"/>
      <c r="HQ51" s="1709"/>
      <c r="HR51" s="1709"/>
      <c r="HS51" s="1709"/>
      <c r="HT51" s="1709"/>
      <c r="HU51" s="1709"/>
      <c r="HV51" s="1709"/>
      <c r="HW51" s="1709"/>
      <c r="HX51" s="1709"/>
      <c r="HY51" s="1709"/>
      <c r="HZ51" s="1709"/>
      <c r="IA51" s="1709"/>
      <c r="IB51" s="1709"/>
      <c r="IC51" s="1709"/>
      <c r="ID51" s="1709"/>
      <c r="IE51" s="1709"/>
      <c r="IF51" s="1709"/>
      <c r="IG51" s="1709"/>
      <c r="IH51" s="1709"/>
      <c r="II51" s="1709"/>
      <c r="IJ51" s="1709"/>
      <c r="IK51" s="1709"/>
      <c r="IL51" s="1709"/>
      <c r="IM51" s="1709"/>
      <c r="IN51" s="1709"/>
      <c r="IO51" s="1709"/>
      <c r="IP51" s="1709"/>
      <c r="IQ51" s="1709"/>
      <c r="IR51" s="1709"/>
      <c r="IS51" s="1709"/>
      <c r="IT51" s="1709"/>
      <c r="IU51" s="1709"/>
      <c r="IV51" s="1709"/>
      <c r="IW51" s="1709"/>
      <c r="IX51" s="1709"/>
      <c r="IY51" s="1709"/>
      <c r="IZ51" s="1709"/>
      <c r="JA51" s="1709"/>
      <c r="JB51" s="1709"/>
      <c r="JC51" s="1709"/>
      <c r="JD51" s="1709"/>
      <c r="JE51" s="1709"/>
      <c r="JF51" s="1709"/>
      <c r="JG51" s="1709"/>
      <c r="JH51" s="1709"/>
      <c r="JI51" s="1709"/>
      <c r="JJ51" s="1709"/>
      <c r="JK51" s="1709"/>
      <c r="JL51" s="1709"/>
      <c r="JM51" s="1709"/>
      <c r="JN51" s="1709"/>
      <c r="JO51" s="1709"/>
      <c r="JP51" s="1709"/>
      <c r="JQ51" s="1709"/>
      <c r="JR51" s="1709"/>
      <c r="JS51" s="1709"/>
      <c r="JT51" s="1709"/>
      <c r="JU51" s="1709"/>
      <c r="JV51" s="1709"/>
      <c r="JW51" s="1709"/>
      <c r="JX51" s="1709"/>
      <c r="JY51" s="1709"/>
      <c r="JZ51" s="1709"/>
      <c r="KA51" s="1709"/>
      <c r="KB51" s="1709"/>
      <c r="KC51" s="1709"/>
      <c r="KD51" s="1709"/>
      <c r="KE51" s="1709"/>
      <c r="KF51" s="1709"/>
      <c r="KG51" s="1709"/>
      <c r="KH51" s="1709"/>
      <c r="KI51" s="1709"/>
      <c r="KJ51" s="1709"/>
      <c r="KK51" s="1709"/>
      <c r="KL51" s="1709"/>
      <c r="KM51" s="1709"/>
      <c r="KN51" s="1709"/>
      <c r="KO51" s="1709"/>
      <c r="KP51" s="1709"/>
      <c r="KQ51" s="1709"/>
      <c r="KR51" s="1709"/>
      <c r="KS51" s="1709"/>
      <c r="KT51" s="1709"/>
      <c r="KU51" s="1709"/>
      <c r="KV51" s="1709"/>
      <c r="KW51" s="1709"/>
      <c r="KX51" s="1709"/>
      <c r="KY51" s="1709"/>
      <c r="KZ51" s="1709"/>
      <c r="LA51" s="1709"/>
      <c r="LB51" s="1709"/>
      <c r="LC51" s="1709"/>
      <c r="LD51" s="1709"/>
      <c r="LE51" s="1709"/>
      <c r="LF51" s="1709"/>
      <c r="LG51" s="1709"/>
      <c r="LH51" s="1709"/>
      <c r="LI51" s="1709"/>
      <c r="LJ51" s="1709"/>
      <c r="LK51" s="1709"/>
      <c r="LL51" s="1709"/>
      <c r="LM51" s="1709"/>
      <c r="LN51" s="1709"/>
      <c r="LO51" s="1709"/>
      <c r="LP51" s="1709"/>
      <c r="LQ51" s="1709"/>
      <c r="LR51" s="1709"/>
      <c r="LS51" s="1709"/>
      <c r="LT51" s="1709"/>
      <c r="LU51" s="1709"/>
      <c r="LV51" s="1709"/>
      <c r="LW51" s="1709"/>
      <c r="LX51" s="1709"/>
      <c r="LY51" s="1709"/>
      <c r="LZ51" s="1709"/>
      <c r="MA51" s="1709"/>
      <c r="MB51" s="1709"/>
      <c r="MC51" s="1709"/>
      <c r="MD51" s="1709"/>
    </row>
    <row r="52" spans="1:393" ht="12" customHeight="1" thickBot="1">
      <c r="A52" s="3218"/>
      <c r="B52" s="3218"/>
      <c r="C52" s="3218"/>
      <c r="D52" s="3218"/>
      <c r="E52" s="3218"/>
      <c r="F52" s="3218"/>
      <c r="G52" s="3218"/>
      <c r="H52" s="3218"/>
      <c r="I52" s="3218"/>
      <c r="J52" s="3218"/>
      <c r="K52" s="3218"/>
      <c r="L52" s="3218"/>
      <c r="M52" s="3218"/>
      <c r="N52" s="3218"/>
      <c r="O52" s="3218"/>
      <c r="P52" s="3218"/>
      <c r="Q52" s="2415"/>
      <c r="R52" s="90"/>
      <c r="S52" s="90"/>
      <c r="T52" s="90"/>
      <c r="U52" s="90"/>
      <c r="V52" s="291"/>
      <c r="W52" s="1709"/>
      <c r="X52" s="1709"/>
      <c r="Y52" s="1709"/>
      <c r="Z52" s="1709"/>
      <c r="AA52" s="1709"/>
      <c r="AB52" s="1709"/>
      <c r="AC52" s="1709"/>
      <c r="AD52" s="1709"/>
      <c r="AE52" s="1709"/>
      <c r="AF52" s="1709"/>
      <c r="AG52" s="1709"/>
      <c r="AH52" s="1709"/>
      <c r="AI52" s="1709"/>
      <c r="AJ52" s="1709"/>
      <c r="AK52" s="1709"/>
      <c r="AL52" s="1709"/>
      <c r="AM52" s="1709"/>
      <c r="AN52" s="1709"/>
      <c r="AO52" s="1709"/>
      <c r="AP52" s="1709"/>
      <c r="AQ52" s="1709"/>
      <c r="AR52" s="1709"/>
      <c r="AS52" s="1709"/>
      <c r="AT52" s="1709"/>
      <c r="AU52" s="1709"/>
      <c r="AV52" s="1709"/>
      <c r="AW52" s="1709"/>
      <c r="AX52" s="1709"/>
      <c r="AY52" s="1709"/>
      <c r="AZ52" s="1709"/>
      <c r="BA52" s="1709"/>
      <c r="BB52" s="1709"/>
      <c r="BC52" s="1709"/>
      <c r="BD52" s="1709"/>
      <c r="BE52" s="1709"/>
      <c r="BF52" s="1709"/>
      <c r="BG52" s="1709"/>
      <c r="BH52" s="1709"/>
      <c r="BI52" s="1709"/>
      <c r="BJ52" s="1709"/>
      <c r="BK52" s="1709"/>
      <c r="BL52" s="1709"/>
      <c r="BM52" s="1709"/>
      <c r="BN52" s="1709"/>
      <c r="BO52" s="1709"/>
      <c r="BP52" s="1709"/>
      <c r="BQ52" s="1709"/>
      <c r="BR52" s="1709"/>
      <c r="BS52" s="1709"/>
      <c r="BT52" s="1709"/>
      <c r="BU52" s="1709"/>
      <c r="BV52" s="1709"/>
      <c r="BW52" s="1709"/>
      <c r="BX52" s="1709"/>
      <c r="BY52" s="1709"/>
      <c r="BZ52" s="1709"/>
      <c r="CA52" s="1709"/>
      <c r="CB52" s="1709"/>
      <c r="CC52" s="1709"/>
      <c r="CD52" s="1709"/>
      <c r="CE52" s="1709"/>
      <c r="CF52" s="1709"/>
      <c r="CG52" s="1709"/>
      <c r="CH52" s="1709"/>
      <c r="CI52" s="1709"/>
      <c r="CJ52" s="1709"/>
      <c r="CK52" s="1709"/>
      <c r="CL52" s="1709"/>
      <c r="CM52" s="1709"/>
      <c r="CN52" s="1709"/>
      <c r="CO52" s="1709"/>
      <c r="CP52" s="1709"/>
      <c r="CQ52" s="1709"/>
      <c r="CR52" s="1709"/>
      <c r="CS52" s="1709"/>
      <c r="CT52" s="1709"/>
      <c r="CU52" s="1709"/>
      <c r="CV52" s="1709"/>
      <c r="CW52" s="1709"/>
      <c r="CX52" s="1709"/>
      <c r="CY52" s="1709"/>
      <c r="CZ52" s="1709"/>
      <c r="DA52" s="1709"/>
      <c r="DB52" s="1709"/>
      <c r="DC52" s="1709"/>
      <c r="DD52" s="1709"/>
      <c r="DE52" s="1709"/>
      <c r="DF52" s="1709"/>
      <c r="DG52" s="1709"/>
      <c r="DH52" s="1709"/>
      <c r="DI52" s="1709"/>
      <c r="DJ52" s="1709"/>
      <c r="DK52" s="1709"/>
      <c r="DL52" s="1709"/>
      <c r="DM52" s="1709"/>
      <c r="DN52" s="1709"/>
      <c r="DO52" s="1709"/>
      <c r="DP52" s="1709"/>
      <c r="DQ52" s="1709"/>
      <c r="DR52" s="1709"/>
      <c r="DS52" s="1709"/>
      <c r="DT52" s="1709"/>
      <c r="DU52" s="1709"/>
      <c r="DV52" s="1709"/>
      <c r="DW52" s="1709"/>
      <c r="DX52" s="1709"/>
      <c r="DY52" s="1709"/>
      <c r="DZ52" s="1709"/>
      <c r="EA52" s="1709"/>
      <c r="EB52" s="1709"/>
      <c r="EC52" s="1709"/>
      <c r="ED52" s="1709"/>
      <c r="EE52" s="1709"/>
      <c r="EF52" s="1709"/>
      <c r="EG52" s="1709"/>
      <c r="EH52" s="1709"/>
      <c r="EI52" s="1709"/>
      <c r="EJ52" s="1709"/>
      <c r="EK52" s="1709"/>
      <c r="EL52" s="1709"/>
      <c r="EM52" s="1709"/>
      <c r="EN52" s="1709"/>
      <c r="EO52" s="1709"/>
      <c r="EP52" s="1709"/>
      <c r="EQ52" s="1709"/>
      <c r="ER52" s="1709"/>
      <c r="ES52" s="1709"/>
      <c r="ET52" s="1709"/>
      <c r="EU52" s="1709"/>
      <c r="EV52" s="1709"/>
      <c r="EW52" s="1709"/>
      <c r="EX52" s="1709"/>
      <c r="EY52" s="1709"/>
      <c r="EZ52" s="1709"/>
      <c r="FA52" s="1709"/>
      <c r="FB52" s="1709"/>
      <c r="FC52" s="1709"/>
      <c r="FD52" s="1709"/>
      <c r="FE52" s="1709"/>
      <c r="FF52" s="1709"/>
      <c r="FG52" s="1709"/>
      <c r="FH52" s="1709"/>
      <c r="FI52" s="1709"/>
      <c r="FJ52" s="1709"/>
      <c r="FK52" s="1709"/>
      <c r="FL52" s="1709"/>
      <c r="FM52" s="1709"/>
      <c r="FN52" s="1709"/>
      <c r="FO52" s="1709"/>
      <c r="FP52" s="1709"/>
      <c r="FQ52" s="1709"/>
      <c r="FR52" s="1709"/>
      <c r="FS52" s="1709"/>
      <c r="FT52" s="1709"/>
      <c r="FU52" s="1709"/>
      <c r="FV52" s="1709"/>
      <c r="FW52" s="1709"/>
      <c r="FX52" s="1709"/>
      <c r="FY52" s="1709"/>
      <c r="FZ52" s="1709"/>
      <c r="GA52" s="1709"/>
      <c r="GB52" s="1709"/>
      <c r="GC52" s="1709"/>
      <c r="GD52" s="1709"/>
      <c r="GE52" s="1709"/>
      <c r="GF52" s="1709"/>
      <c r="GG52" s="1709"/>
      <c r="GH52" s="1709"/>
      <c r="GI52" s="1709"/>
      <c r="GJ52" s="1709"/>
      <c r="GK52" s="1709"/>
      <c r="GL52" s="1709"/>
      <c r="GM52" s="1709"/>
      <c r="GN52" s="1709"/>
      <c r="GO52" s="1709"/>
      <c r="GP52" s="1709"/>
      <c r="GQ52" s="1709"/>
      <c r="GR52" s="1709"/>
      <c r="GS52" s="1709"/>
      <c r="GT52" s="1709"/>
      <c r="GU52" s="1709"/>
      <c r="GV52" s="1709"/>
      <c r="GW52" s="1709"/>
      <c r="GX52" s="1709"/>
      <c r="GY52" s="1709"/>
      <c r="GZ52" s="1709"/>
      <c r="HA52" s="1709"/>
      <c r="HB52" s="1709"/>
      <c r="HC52" s="1709"/>
      <c r="HD52" s="1709"/>
      <c r="HE52" s="1709"/>
      <c r="HF52" s="1709"/>
      <c r="HG52" s="1709"/>
      <c r="HH52" s="1709"/>
      <c r="HI52" s="1709"/>
      <c r="HJ52" s="1709"/>
      <c r="HK52" s="1709"/>
      <c r="HL52" s="1709"/>
      <c r="HM52" s="1709"/>
      <c r="HN52" s="1709"/>
      <c r="HO52" s="1709"/>
      <c r="HP52" s="1709"/>
      <c r="HQ52" s="1709"/>
      <c r="HR52" s="1709"/>
      <c r="HS52" s="1709"/>
      <c r="HT52" s="1709"/>
      <c r="HU52" s="1709"/>
      <c r="HV52" s="1709"/>
      <c r="HW52" s="1709"/>
      <c r="HX52" s="1709"/>
      <c r="HY52" s="1709"/>
      <c r="HZ52" s="1709"/>
      <c r="IA52" s="1709"/>
      <c r="IB52" s="1709"/>
      <c r="IC52" s="1709"/>
      <c r="ID52" s="1709"/>
      <c r="IE52" s="1709"/>
      <c r="IF52" s="1709"/>
      <c r="IG52" s="1709"/>
      <c r="IH52" s="1709"/>
      <c r="II52" s="1709"/>
      <c r="IJ52" s="1709"/>
      <c r="IK52" s="1709"/>
      <c r="IL52" s="1709"/>
      <c r="IM52" s="1709"/>
      <c r="IN52" s="1709"/>
      <c r="IO52" s="1709"/>
      <c r="IP52" s="1709"/>
      <c r="IQ52" s="1709"/>
      <c r="IR52" s="1709"/>
      <c r="IS52" s="1709"/>
      <c r="IT52" s="1709"/>
      <c r="IU52" s="1709"/>
      <c r="IV52" s="1709"/>
      <c r="IW52" s="1709"/>
      <c r="IX52" s="1709"/>
      <c r="IY52" s="1709"/>
      <c r="IZ52" s="1709"/>
      <c r="JA52" s="1709"/>
      <c r="JB52" s="1709"/>
      <c r="JC52" s="1709"/>
      <c r="JD52" s="1709"/>
      <c r="JE52" s="1709"/>
      <c r="JF52" s="1709"/>
      <c r="JG52" s="1709"/>
      <c r="JH52" s="1709"/>
      <c r="JI52" s="1709"/>
      <c r="JJ52" s="1709"/>
      <c r="JK52" s="1709"/>
      <c r="JL52" s="1709"/>
      <c r="JM52" s="1709"/>
      <c r="JN52" s="1709"/>
      <c r="JO52" s="1709"/>
      <c r="JP52" s="1709"/>
      <c r="JQ52" s="1709"/>
      <c r="JR52" s="1709"/>
      <c r="JS52" s="1709"/>
      <c r="JT52" s="1709"/>
      <c r="JU52" s="1709"/>
      <c r="JV52" s="1709"/>
      <c r="JW52" s="1709"/>
      <c r="JX52" s="1709"/>
      <c r="JY52" s="1709"/>
      <c r="JZ52" s="1709"/>
      <c r="KA52" s="1709"/>
      <c r="KB52" s="1709"/>
      <c r="KC52" s="1709"/>
      <c r="KD52" s="1709"/>
      <c r="KE52" s="1709"/>
      <c r="KF52" s="1709"/>
      <c r="KG52" s="1709"/>
      <c r="KH52" s="1709"/>
      <c r="KI52" s="1709"/>
      <c r="KJ52" s="1709"/>
      <c r="KK52" s="1709"/>
      <c r="KL52" s="1709"/>
      <c r="KM52" s="1709"/>
      <c r="KN52" s="1709"/>
      <c r="KO52" s="1709"/>
      <c r="KP52" s="1709"/>
      <c r="KQ52" s="1709"/>
      <c r="KR52" s="1709"/>
      <c r="KS52" s="1709"/>
      <c r="KT52" s="1709"/>
      <c r="KU52" s="1709"/>
      <c r="KV52" s="1709"/>
      <c r="KW52" s="1709"/>
      <c r="KX52" s="1709"/>
      <c r="KY52" s="1709"/>
      <c r="KZ52" s="1709"/>
      <c r="LA52" s="1709"/>
      <c r="LB52" s="1709"/>
      <c r="LC52" s="1709"/>
      <c r="LD52" s="1709"/>
      <c r="LE52" s="1709"/>
      <c r="LF52" s="1709"/>
      <c r="LG52" s="1709"/>
      <c r="LH52" s="1709"/>
      <c r="LI52" s="1709"/>
      <c r="LJ52" s="1709"/>
      <c r="LK52" s="1709"/>
      <c r="LL52" s="1709"/>
      <c r="LM52" s="1709"/>
      <c r="LN52" s="1709"/>
      <c r="LO52" s="1709"/>
      <c r="LP52" s="1709"/>
      <c r="LQ52" s="1709"/>
      <c r="LR52" s="1709"/>
      <c r="LS52" s="1709"/>
      <c r="LT52" s="1709"/>
      <c r="LU52" s="1709"/>
      <c r="LV52" s="1709"/>
      <c r="LW52" s="1709"/>
      <c r="LX52" s="1709"/>
      <c r="LY52" s="1709"/>
      <c r="LZ52" s="1709"/>
      <c r="MA52" s="1709"/>
      <c r="MB52" s="1709"/>
      <c r="MC52" s="1709"/>
      <c r="MD52" s="1709"/>
    </row>
    <row r="53" spans="1:393" ht="14.4" customHeight="1" thickBot="1">
      <c r="A53" s="12" t="s">
        <v>729</v>
      </c>
      <c r="B53" s="12" t="s">
        <v>526</v>
      </c>
      <c r="K53" s="3237" t="str">
        <f>'Part I-Project Information'!$K$94</f>
        <v>40% of Units at 60% of AMI</v>
      </c>
      <c r="L53" s="3238"/>
      <c r="M53" s="3238"/>
      <c r="N53" s="3239"/>
      <c r="O53" s="82"/>
      <c r="R53" s="3175" t="str">
        <f>B53</f>
        <v>UNIT SUMMARY</v>
      </c>
      <c r="S53" s="3175"/>
      <c r="T53" s="3175"/>
      <c r="U53" s="3175"/>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4" customHeight="1">
      <c r="A55" s="12"/>
      <c r="B55" s="12" t="s">
        <v>1123</v>
      </c>
      <c r="H55" s="82" t="s">
        <v>1027</v>
      </c>
      <c r="I55" s="82"/>
      <c r="J55" s="119" t="s">
        <v>558</v>
      </c>
      <c r="K55" s="119" t="s">
        <v>527</v>
      </c>
      <c r="L55" s="119" t="s">
        <v>528</v>
      </c>
      <c r="M55" s="119" t="s">
        <v>529</v>
      </c>
      <c r="N55" s="119" t="s">
        <v>530</v>
      </c>
      <c r="O55" s="119" t="s">
        <v>531</v>
      </c>
      <c r="R55" s="30" t="s">
        <v>1820</v>
      </c>
      <c r="S55" s="30"/>
      <c r="T55" s="472"/>
      <c r="W55" s="638"/>
      <c r="Z55" s="638"/>
      <c r="AA55" s="638"/>
      <c r="AB55" s="638"/>
      <c r="AE55" s="638"/>
      <c r="AF55" s="638"/>
      <c r="AG55" s="638"/>
      <c r="AJ55" s="638"/>
      <c r="AK55" s="638"/>
      <c r="AL55" s="638"/>
      <c r="AO55" s="638"/>
      <c r="AP55" s="638"/>
      <c r="AQ55" s="1312"/>
      <c r="AR55" s="1312"/>
      <c r="AS55" s="1312"/>
      <c r="AT55" s="1312"/>
      <c r="AU55" s="1312"/>
      <c r="AV55" s="1312"/>
      <c r="AW55" s="638"/>
      <c r="AX55" s="450"/>
      <c r="BA55" s="1312"/>
      <c r="BB55" s="638"/>
      <c r="BC55" s="450"/>
      <c r="LN55" s="456"/>
      <c r="MC55" s="448"/>
    </row>
    <row r="56" spans="1:393" ht="15" customHeight="1">
      <c r="A56" s="3241" t="s">
        <v>438</v>
      </c>
      <c r="B56" s="3241"/>
      <c r="C56" s="94" t="s">
        <v>1124</v>
      </c>
      <c r="D56" s="1"/>
      <c r="E56" s="1"/>
      <c r="F56" s="1"/>
      <c r="G56" s="82"/>
      <c r="H56" s="35" t="s">
        <v>4287</v>
      </c>
      <c r="I56" s="82"/>
      <c r="J56" s="1444">
        <f>W48</f>
        <v>0</v>
      </c>
      <c r="K56" s="1445">
        <f>X48</f>
        <v>0</v>
      </c>
      <c r="L56" s="1445">
        <f>Y48</f>
        <v>0</v>
      </c>
      <c r="M56" s="1445">
        <f>Z48</f>
        <v>0</v>
      </c>
      <c r="N56" s="1446">
        <f>AA48</f>
        <v>0</v>
      </c>
      <c r="O56" s="961">
        <f t="shared" ref="O56:O67" si="347">SUM(J56:N56)</f>
        <v>0</v>
      </c>
      <c r="P56" s="3168" t="s">
        <v>3570</v>
      </c>
      <c r="Q56" s="1756"/>
      <c r="R56" s="3155"/>
      <c r="S56" s="3156"/>
      <c r="T56" s="3156"/>
      <c r="U56" s="3156"/>
      <c r="V56" s="3157"/>
      <c r="W56" s="1311"/>
      <c r="Z56" s="1311"/>
      <c r="AA56" s="457"/>
      <c r="AB56" s="1311"/>
      <c r="AE56" s="1311"/>
      <c r="AF56" s="457"/>
      <c r="AG56" s="1311"/>
      <c r="AJ56" s="1311"/>
      <c r="AK56" s="457"/>
      <c r="AL56" s="1311"/>
      <c r="AO56" s="1311"/>
      <c r="AP56" s="457"/>
      <c r="AQ56" s="458"/>
      <c r="AR56" s="458"/>
      <c r="AS56" s="458"/>
      <c r="AT56" s="458"/>
      <c r="AU56" s="458"/>
      <c r="AV56" s="458"/>
      <c r="AW56" s="457"/>
      <c r="AX56" s="450"/>
      <c r="BA56" s="458"/>
      <c r="BB56" s="457"/>
      <c r="BC56" s="450"/>
      <c r="LN56" s="456"/>
      <c r="MC56" s="448"/>
    </row>
    <row r="57" spans="1:393" ht="15" customHeight="1">
      <c r="A57" s="3241"/>
      <c r="B57" s="3241"/>
      <c r="C57" s="94"/>
      <c r="D57" s="1"/>
      <c r="E57" s="1"/>
      <c r="F57" s="1"/>
      <c r="G57" s="82"/>
      <c r="H57" s="35" t="s">
        <v>4288</v>
      </c>
      <c r="I57" s="82"/>
      <c r="J57" s="1447">
        <f>AB48</f>
        <v>0</v>
      </c>
      <c r="K57" s="1448">
        <f>AC48</f>
        <v>0</v>
      </c>
      <c r="L57" s="1448">
        <f>AD48</f>
        <v>0</v>
      </c>
      <c r="M57" s="1448">
        <f>AE48</f>
        <v>0</v>
      </c>
      <c r="N57" s="1449">
        <f>AF48</f>
        <v>0</v>
      </c>
      <c r="O57" s="956">
        <f t="shared" si="347"/>
        <v>0</v>
      </c>
      <c r="P57" s="3168"/>
      <c r="Q57" s="1756"/>
      <c r="R57" s="3160"/>
      <c r="S57" s="3161"/>
      <c r="T57" s="3161"/>
      <c r="U57" s="3161"/>
      <c r="V57" s="3162"/>
      <c r="W57" s="1311"/>
      <c r="Z57" s="1311"/>
      <c r="AA57" s="457"/>
      <c r="AB57" s="1311"/>
      <c r="AE57" s="1311"/>
      <c r="AF57" s="457"/>
      <c r="AG57" s="1311"/>
      <c r="AJ57" s="1311"/>
      <c r="AK57" s="457"/>
      <c r="AL57" s="1311"/>
      <c r="AO57" s="1311"/>
      <c r="AP57" s="457"/>
      <c r="AQ57" s="458"/>
      <c r="AR57" s="458"/>
      <c r="AS57" s="458"/>
      <c r="AT57" s="458"/>
      <c r="AU57" s="458"/>
      <c r="AV57" s="458"/>
      <c r="AW57" s="457"/>
      <c r="AX57" s="450"/>
      <c r="BA57" s="458"/>
      <c r="BB57" s="457"/>
      <c r="BC57" s="450"/>
      <c r="LN57" s="456"/>
      <c r="MC57" s="448"/>
    </row>
    <row r="58" spans="1:393" ht="15" customHeight="1">
      <c r="A58" s="3241"/>
      <c r="B58" s="3241"/>
      <c r="C58" s="94"/>
      <c r="D58" s="1"/>
      <c r="E58" s="1"/>
      <c r="F58" s="1"/>
      <c r="G58" s="82"/>
      <c r="H58" s="35" t="s">
        <v>1136</v>
      </c>
      <c r="I58" s="82"/>
      <c r="J58" s="1447">
        <f>AG48</f>
        <v>0</v>
      </c>
      <c r="K58" s="1448">
        <f>AH48</f>
        <v>21</v>
      </c>
      <c r="L58" s="1448">
        <f>AI48</f>
        <v>27</v>
      </c>
      <c r="M58" s="1448">
        <f>AJ48</f>
        <v>6</v>
      </c>
      <c r="N58" s="1449">
        <f>AK48</f>
        <v>0</v>
      </c>
      <c r="O58" s="956">
        <f t="shared" si="347"/>
        <v>54</v>
      </c>
      <c r="P58" s="3168"/>
      <c r="Q58" s="1756"/>
      <c r="R58" s="3160"/>
      <c r="S58" s="3161"/>
      <c r="T58" s="3161"/>
      <c r="U58" s="3161"/>
      <c r="V58" s="3162"/>
      <c r="W58" s="1311"/>
      <c r="Z58" s="1311"/>
      <c r="AA58" s="457"/>
      <c r="AB58" s="1311"/>
      <c r="AE58" s="1311"/>
      <c r="AF58" s="457"/>
      <c r="AG58" s="1311"/>
      <c r="AJ58" s="1311"/>
      <c r="AK58" s="457"/>
      <c r="AL58" s="1311"/>
      <c r="AO58" s="1311"/>
      <c r="AP58" s="457"/>
      <c r="AQ58" s="458"/>
      <c r="AR58" s="458"/>
      <c r="AS58" s="458"/>
      <c r="AT58" s="458"/>
      <c r="AU58" s="458"/>
      <c r="AV58" s="458"/>
      <c r="AW58" s="457"/>
      <c r="AX58" s="450"/>
      <c r="BA58" s="458"/>
      <c r="BB58" s="457"/>
      <c r="BC58" s="450"/>
      <c r="LN58" s="456"/>
      <c r="MC58" s="448"/>
    </row>
    <row r="59" spans="1:393" ht="15" customHeight="1">
      <c r="A59" s="3241"/>
      <c r="B59" s="3241"/>
      <c r="C59" s="94"/>
      <c r="D59" s="1"/>
      <c r="E59" s="1"/>
      <c r="F59" s="1"/>
      <c r="G59" s="82"/>
      <c r="H59" s="51" t="s">
        <v>116</v>
      </c>
      <c r="I59" s="1154"/>
      <c r="J59" s="1477">
        <f>AL48</f>
        <v>0</v>
      </c>
      <c r="K59" s="1478">
        <f>AM48</f>
        <v>7</v>
      </c>
      <c r="L59" s="1478">
        <f>AN48</f>
        <v>8</v>
      </c>
      <c r="M59" s="1478">
        <f>AO48</f>
        <v>2</v>
      </c>
      <c r="N59" s="1479">
        <f>AP48</f>
        <v>0</v>
      </c>
      <c r="O59" s="598">
        <f t="shared" si="347"/>
        <v>17</v>
      </c>
      <c r="P59" s="3168"/>
      <c r="Q59" s="1756"/>
      <c r="R59" s="3160"/>
      <c r="S59" s="3161"/>
      <c r="T59" s="3161"/>
      <c r="U59" s="3161"/>
      <c r="V59" s="3162"/>
      <c r="W59" s="1311"/>
      <c r="Z59" s="1311"/>
      <c r="AA59" s="457"/>
      <c r="AB59" s="1311"/>
      <c r="AE59" s="1311"/>
      <c r="AF59" s="457"/>
      <c r="AG59" s="1311"/>
      <c r="AJ59" s="1311"/>
      <c r="AK59" s="457"/>
      <c r="AL59" s="1311"/>
      <c r="AO59" s="1311"/>
      <c r="AP59" s="457"/>
      <c r="AQ59" s="458"/>
      <c r="AR59" s="458"/>
      <c r="AS59" s="458"/>
      <c r="AT59" s="458"/>
      <c r="AU59" s="458"/>
      <c r="AV59" s="458"/>
      <c r="AW59" s="457"/>
      <c r="AX59" s="450"/>
      <c r="BA59" s="458"/>
      <c r="BB59" s="457"/>
      <c r="BC59" s="450"/>
      <c r="LN59" s="456"/>
      <c r="MC59" s="448"/>
    </row>
    <row r="60" spans="1:393" ht="15" customHeight="1">
      <c r="A60" s="3241"/>
      <c r="B60" s="3241"/>
      <c r="C60" s="94"/>
      <c r="D60" s="1"/>
      <c r="E60" s="1"/>
      <c r="F60" s="1"/>
      <c r="G60" s="82"/>
      <c r="H60" s="51" t="s">
        <v>4289</v>
      </c>
      <c r="I60" s="1154"/>
      <c r="J60" s="1447">
        <f>AQ48</f>
        <v>0</v>
      </c>
      <c r="K60" s="1448">
        <f>AR48</f>
        <v>0</v>
      </c>
      <c r="L60" s="1448">
        <f>AS48</f>
        <v>0</v>
      </c>
      <c r="M60" s="1448">
        <f>AT48</f>
        <v>0</v>
      </c>
      <c r="N60" s="1449">
        <f>AU48</f>
        <v>0</v>
      </c>
      <c r="O60" s="956">
        <f t="shared" si="347"/>
        <v>0</v>
      </c>
      <c r="P60" s="3168"/>
      <c r="Q60" s="1756"/>
      <c r="R60" s="3160"/>
      <c r="S60" s="3161"/>
      <c r="T60" s="3161"/>
      <c r="U60" s="3161"/>
      <c r="V60" s="3162"/>
      <c r="W60" s="1311"/>
      <c r="Z60" s="1311"/>
      <c r="AA60" s="457"/>
      <c r="AB60" s="1311"/>
      <c r="AE60" s="1311"/>
      <c r="AF60" s="457"/>
      <c r="AG60" s="1311"/>
      <c r="AJ60" s="1311"/>
      <c r="AK60" s="457"/>
      <c r="AL60" s="1311"/>
      <c r="AO60" s="1311"/>
      <c r="AP60" s="457"/>
      <c r="AQ60" s="458"/>
      <c r="AR60" s="458"/>
      <c r="AS60" s="458"/>
      <c r="AT60" s="458"/>
      <c r="AU60" s="458"/>
      <c r="AV60" s="458"/>
      <c r="AW60" s="457"/>
      <c r="AX60" s="450"/>
      <c r="BA60" s="458"/>
      <c r="BB60" s="457"/>
      <c r="BC60" s="450"/>
      <c r="LN60" s="456"/>
      <c r="MC60" s="448"/>
    </row>
    <row r="61" spans="1:393" ht="15" customHeight="1">
      <c r="A61" s="3241"/>
      <c r="B61" s="3241"/>
      <c r="C61" s="94"/>
      <c r="D61" s="1"/>
      <c r="E61" s="1"/>
      <c r="F61" s="1"/>
      <c r="G61" s="82"/>
      <c r="H61" s="35" t="s">
        <v>4290</v>
      </c>
      <c r="I61" s="82"/>
      <c r="J61" s="1447">
        <f>AV48</f>
        <v>0</v>
      </c>
      <c r="K61" s="1448">
        <f>AW48</f>
        <v>0</v>
      </c>
      <c r="L61" s="1448">
        <f>AX48</f>
        <v>0</v>
      </c>
      <c r="M61" s="1448">
        <f>AY48</f>
        <v>0</v>
      </c>
      <c r="N61" s="1449">
        <f>AZ48</f>
        <v>0</v>
      </c>
      <c r="O61" s="956">
        <f t="shared" si="347"/>
        <v>0</v>
      </c>
      <c r="P61" s="3168"/>
      <c r="Q61" s="1756"/>
      <c r="R61" s="3160"/>
      <c r="S61" s="3161"/>
      <c r="T61" s="3161"/>
      <c r="U61" s="3161"/>
      <c r="V61" s="3162"/>
      <c r="W61" s="1311"/>
      <c r="Z61" s="1311"/>
      <c r="AA61" s="457"/>
      <c r="AB61" s="1311"/>
      <c r="AE61" s="1311"/>
      <c r="AF61" s="457"/>
      <c r="AG61" s="1311"/>
      <c r="AJ61" s="1311"/>
      <c r="AK61" s="457"/>
      <c r="AL61" s="1311"/>
      <c r="AO61" s="1311"/>
      <c r="AP61" s="457"/>
      <c r="AQ61" s="458"/>
      <c r="AR61" s="458"/>
      <c r="AS61" s="458"/>
      <c r="AT61" s="458"/>
      <c r="AU61" s="458"/>
      <c r="AV61" s="458"/>
      <c r="AW61" s="457"/>
      <c r="AX61" s="450"/>
      <c r="BA61" s="458"/>
      <c r="BB61" s="457"/>
      <c r="BC61" s="450"/>
      <c r="LN61" s="456"/>
      <c r="MC61" s="448"/>
    </row>
    <row r="62" spans="1:393" ht="15" customHeight="1">
      <c r="A62" s="3241"/>
      <c r="B62" s="3241"/>
      <c r="C62" s="3"/>
      <c r="D62" s="1"/>
      <c r="E62" s="1"/>
      <c r="F62" s="1"/>
      <c r="G62" s="82"/>
      <c r="H62" s="35" t="s">
        <v>4291</v>
      </c>
      <c r="I62" s="82"/>
      <c r="J62" s="1450">
        <f>BA48</f>
        <v>0</v>
      </c>
      <c r="K62" s="1451">
        <f>BB48</f>
        <v>0</v>
      </c>
      <c r="L62" s="1451">
        <f>BC48</f>
        <v>0</v>
      </c>
      <c r="M62" s="1451">
        <f>BD48</f>
        <v>0</v>
      </c>
      <c r="N62" s="1452">
        <f>BE48</f>
        <v>0</v>
      </c>
      <c r="O62" s="598">
        <f t="shared" si="347"/>
        <v>0</v>
      </c>
      <c r="P62" s="3168"/>
      <c r="Q62" s="1756"/>
      <c r="R62" s="3160"/>
      <c r="S62" s="3161"/>
      <c r="T62" s="3161"/>
      <c r="U62" s="3161"/>
      <c r="V62" s="3162"/>
      <c r="W62" s="1310"/>
      <c r="Z62" s="1311"/>
      <c r="AA62" s="457"/>
      <c r="AB62" s="1310"/>
      <c r="AE62" s="1311"/>
      <c r="AF62" s="457"/>
      <c r="AG62" s="1310"/>
      <c r="AJ62" s="1311"/>
      <c r="AK62" s="457"/>
      <c r="AL62" s="1310"/>
      <c r="AO62" s="1311"/>
      <c r="AP62" s="457"/>
      <c r="AQ62" s="458"/>
      <c r="AR62" s="458"/>
      <c r="AS62" s="458"/>
      <c r="AT62" s="458"/>
      <c r="AU62" s="458"/>
      <c r="AV62" s="458"/>
      <c r="AW62" s="457"/>
      <c r="AX62" s="450"/>
      <c r="BA62" s="458"/>
      <c r="BB62" s="457"/>
      <c r="BC62" s="450"/>
      <c r="LN62" s="456"/>
      <c r="MC62" s="448"/>
    </row>
    <row r="63" spans="1:393" ht="15" customHeight="1">
      <c r="A63" s="3241"/>
      <c r="B63" s="3241"/>
      <c r="C63" s="110" t="s">
        <v>4373</v>
      </c>
      <c r="D63" s="1"/>
      <c r="E63" s="1"/>
      <c r="F63" s="1"/>
      <c r="G63" s="82"/>
      <c r="H63" s="54"/>
      <c r="I63" s="82"/>
      <c r="J63" s="1414">
        <f>SUM(J56:J62)</f>
        <v>0</v>
      </c>
      <c r="K63" s="1414">
        <f>SUM(K56:K62)</f>
        <v>28</v>
      </c>
      <c r="L63" s="1414">
        <f>SUM(L56:L62)</f>
        <v>35</v>
      </c>
      <c r="M63" s="1414">
        <f>SUM(M56:M62)</f>
        <v>8</v>
      </c>
      <c r="N63" s="1414">
        <f>SUM(N56:N62)</f>
        <v>0</v>
      </c>
      <c r="O63" s="1414">
        <f t="shared" si="347"/>
        <v>71</v>
      </c>
      <c r="P63" s="3169"/>
      <c r="R63" s="3160"/>
      <c r="S63" s="3161"/>
      <c r="T63" s="3161"/>
      <c r="U63" s="3161"/>
      <c r="V63" s="3162"/>
      <c r="W63" s="1310"/>
      <c r="Z63" s="1311"/>
      <c r="AA63" s="457"/>
      <c r="AB63" s="1310"/>
      <c r="AE63" s="1311"/>
      <c r="AF63" s="457"/>
      <c r="AG63" s="1310"/>
      <c r="AJ63" s="1311"/>
      <c r="AK63" s="457"/>
      <c r="AL63" s="1310"/>
      <c r="AO63" s="1311"/>
      <c r="AP63" s="457"/>
      <c r="AQ63" s="458"/>
      <c r="AR63" s="458"/>
      <c r="AS63" s="458"/>
      <c r="AT63" s="458"/>
      <c r="AU63" s="458"/>
      <c r="AV63" s="458"/>
      <c r="AW63" s="457"/>
      <c r="AX63" s="450"/>
      <c r="BA63" s="458"/>
      <c r="BB63" s="457"/>
      <c r="BC63" s="450"/>
      <c r="LN63" s="456"/>
      <c r="MC63" s="448"/>
    </row>
    <row r="64" spans="1:393" ht="15" customHeight="1">
      <c r="A64" s="3241"/>
      <c r="B64" s="3241"/>
      <c r="D64" s="1"/>
      <c r="E64" s="1"/>
      <c r="F64" s="1"/>
      <c r="G64" s="82"/>
      <c r="H64" s="35" t="s">
        <v>300</v>
      </c>
      <c r="I64" s="82"/>
      <c r="J64" s="957">
        <f>BF48</f>
        <v>0</v>
      </c>
      <c r="K64" s="957">
        <f>BG48</f>
        <v>4</v>
      </c>
      <c r="L64" s="957">
        <f>BH48</f>
        <v>7</v>
      </c>
      <c r="M64" s="957">
        <f>BI48</f>
        <v>2</v>
      </c>
      <c r="N64" s="957">
        <f>BJ48</f>
        <v>0</v>
      </c>
      <c r="O64" s="957">
        <f t="shared" si="347"/>
        <v>13</v>
      </c>
      <c r="R64" s="3160"/>
      <c r="S64" s="3161"/>
      <c r="T64" s="3161"/>
      <c r="U64" s="3161"/>
      <c r="V64" s="3162"/>
      <c r="W64" s="450"/>
      <c r="Z64" s="1311"/>
      <c r="AA64" s="457"/>
      <c r="AB64" s="450"/>
      <c r="AE64" s="1311"/>
      <c r="AF64" s="457"/>
      <c r="AG64" s="450"/>
      <c r="AJ64" s="1311"/>
      <c r="AK64" s="457"/>
      <c r="AL64" s="450"/>
      <c r="AO64" s="1311"/>
      <c r="AP64" s="457"/>
      <c r="AQ64" s="458"/>
      <c r="AR64" s="458"/>
      <c r="AS64" s="458"/>
      <c r="AT64" s="458"/>
      <c r="AU64" s="458"/>
      <c r="AV64" s="458"/>
      <c r="AW64" s="1051"/>
      <c r="AX64" s="450"/>
      <c r="BA64" s="458"/>
      <c r="BB64" s="1051"/>
      <c r="BC64" s="450"/>
      <c r="LN64" s="456"/>
      <c r="MC64" s="448"/>
    </row>
    <row r="65" spans="1:341" ht="15" customHeight="1">
      <c r="A65" s="3241"/>
      <c r="B65" s="3241"/>
      <c r="C65" s="1421" t="s">
        <v>1125</v>
      </c>
      <c r="D65" s="1421"/>
      <c r="E65" s="1421"/>
      <c r="F65" s="1421"/>
      <c r="G65" s="1422"/>
      <c r="H65" s="48"/>
      <c r="I65" s="1422"/>
      <c r="J65" s="1423">
        <f>SUM(J63:J64)</f>
        <v>0</v>
      </c>
      <c r="K65" s="1423">
        <f>SUM(K63:K64)</f>
        <v>32</v>
      </c>
      <c r="L65" s="1423">
        <f>SUM(L63:L64)</f>
        <v>42</v>
      </c>
      <c r="M65" s="1423">
        <f>SUM(M63:M64)</f>
        <v>10</v>
      </c>
      <c r="N65" s="1423">
        <f>SUM(N63:N64)</f>
        <v>0</v>
      </c>
      <c r="O65" s="1423">
        <f t="shared" si="347"/>
        <v>84</v>
      </c>
      <c r="R65" s="3160"/>
      <c r="S65" s="3161"/>
      <c r="T65" s="3161"/>
      <c r="U65" s="3161"/>
      <c r="V65" s="3162"/>
      <c r="W65" s="1311"/>
      <c r="Z65" s="1311"/>
      <c r="AA65" s="457"/>
      <c r="AB65" s="1311"/>
      <c r="AE65" s="1311"/>
      <c r="AF65" s="457"/>
      <c r="AG65" s="1311"/>
      <c r="AJ65" s="1311"/>
      <c r="AK65" s="457"/>
      <c r="AL65" s="1311"/>
      <c r="AO65" s="1311"/>
      <c r="AP65" s="457"/>
      <c r="AQ65" s="458"/>
      <c r="AR65" s="458"/>
      <c r="AS65" s="458"/>
      <c r="AT65" s="458"/>
      <c r="AU65" s="458"/>
      <c r="AV65" s="458"/>
      <c r="AW65" s="1051"/>
      <c r="AX65" s="450"/>
      <c r="BA65" s="458"/>
      <c r="BB65" s="1051"/>
      <c r="BC65" s="450"/>
      <c r="LN65" s="456"/>
      <c r="MC65" s="448"/>
    </row>
    <row r="66" spans="1:341" ht="15" customHeight="1">
      <c r="A66" s="3241"/>
      <c r="B66" s="3241"/>
      <c r="D66" s="1"/>
      <c r="E66" s="1"/>
      <c r="F66" s="1"/>
      <c r="G66" s="82"/>
      <c r="H66" s="35" t="s">
        <v>2478</v>
      </c>
      <c r="I66" s="82"/>
      <c r="J66" s="957">
        <f>EC48</f>
        <v>0</v>
      </c>
      <c r="K66" s="957">
        <f>ED48</f>
        <v>0</v>
      </c>
      <c r="L66" s="957">
        <f>EE48</f>
        <v>0</v>
      </c>
      <c r="M66" s="957">
        <f>EF48</f>
        <v>0</v>
      </c>
      <c r="N66" s="957">
        <f>EG48</f>
        <v>0</v>
      </c>
      <c r="O66" s="957">
        <f t="shared" si="347"/>
        <v>0</v>
      </c>
      <c r="P66" s="493" t="s">
        <v>3571</v>
      </c>
      <c r="R66" s="3160"/>
      <c r="S66" s="3161"/>
      <c r="T66" s="3161"/>
      <c r="U66" s="3161"/>
      <c r="V66" s="3162"/>
      <c r="W66" s="1311"/>
      <c r="Z66" s="1311"/>
      <c r="AA66" s="457"/>
      <c r="AB66" s="1311"/>
      <c r="AE66" s="1311"/>
      <c r="AF66" s="457"/>
      <c r="AG66" s="1311"/>
      <c r="AJ66" s="1311"/>
      <c r="AK66" s="457"/>
      <c r="AL66" s="1311"/>
      <c r="AO66" s="1311"/>
      <c r="AP66" s="457"/>
      <c r="AQ66" s="458"/>
      <c r="AR66" s="458"/>
      <c r="AS66" s="458"/>
      <c r="AT66" s="458"/>
      <c r="AU66" s="458"/>
      <c r="AV66" s="458"/>
      <c r="AW66" s="457"/>
      <c r="AX66" s="450"/>
      <c r="BA66" s="458"/>
      <c r="BB66" s="457"/>
      <c r="BC66" s="450"/>
      <c r="LN66" s="456"/>
      <c r="MC66" s="448"/>
    </row>
    <row r="67" spans="1:341" ht="15" customHeight="1">
      <c r="A67" s="3241"/>
      <c r="B67" s="3241"/>
      <c r="C67" s="3" t="s">
        <v>1771</v>
      </c>
      <c r="D67" s="1"/>
      <c r="E67" s="1"/>
      <c r="F67" s="1"/>
      <c r="G67" s="82"/>
      <c r="H67" s="35"/>
      <c r="I67" s="82"/>
      <c r="J67" s="1413">
        <f>SUM(J65:J66)</f>
        <v>0</v>
      </c>
      <c r="K67" s="1413">
        <f>SUM(K65:K66)</f>
        <v>32</v>
      </c>
      <c r="L67" s="1413">
        <f>SUM(L65:L66)</f>
        <v>42</v>
      </c>
      <c r="M67" s="1413">
        <f>SUM(M65:M66)</f>
        <v>10</v>
      </c>
      <c r="N67" s="1413">
        <f>SUM(N65:N66)</f>
        <v>0</v>
      </c>
      <c r="O67" s="1413">
        <f t="shared" si="347"/>
        <v>84</v>
      </c>
      <c r="R67" s="3164"/>
      <c r="S67" s="3165"/>
      <c r="T67" s="3165"/>
      <c r="U67" s="3165"/>
      <c r="V67" s="3166"/>
      <c r="W67" s="1311"/>
      <c r="Z67" s="1311"/>
      <c r="AA67" s="457"/>
      <c r="AB67" s="1311"/>
      <c r="AE67" s="1311"/>
      <c r="AF67" s="457"/>
      <c r="AG67" s="1311"/>
      <c r="AJ67" s="1311"/>
      <c r="AK67" s="457"/>
      <c r="AL67" s="1311"/>
      <c r="AO67" s="1311"/>
      <c r="AP67" s="457"/>
      <c r="AQ67" s="458"/>
      <c r="AR67" s="458"/>
      <c r="AS67" s="458"/>
      <c r="AT67" s="458"/>
      <c r="AU67" s="458"/>
      <c r="AV67" s="458"/>
      <c r="AW67" s="638"/>
      <c r="AX67" s="450"/>
      <c r="BA67" s="458"/>
      <c r="BB67" s="638"/>
      <c r="BC67" s="450"/>
      <c r="LN67" s="456"/>
      <c r="MC67" s="448"/>
    </row>
    <row r="68" spans="1:341" ht="12" customHeight="1">
      <c r="A68" s="3241"/>
      <c r="B68" s="3241"/>
      <c r="C68" s="1666"/>
      <c r="D68" s="1666"/>
      <c r="E68" s="1666"/>
      <c r="F68" s="1666"/>
      <c r="G68" s="1666"/>
      <c r="H68" s="1666"/>
      <c r="I68" s="1666"/>
      <c r="J68" s="1666"/>
      <c r="K68" s="1666"/>
      <c r="L68" s="1666"/>
      <c r="M68" s="1666"/>
      <c r="N68" s="1666"/>
      <c r="O68" s="1666"/>
      <c r="P68" s="448"/>
      <c r="W68" s="1311"/>
      <c r="Z68" s="1311"/>
      <c r="AA68" s="457"/>
      <c r="AB68" s="1311"/>
      <c r="AE68" s="1311"/>
      <c r="AF68" s="457"/>
      <c r="AG68" s="1311"/>
      <c r="AJ68" s="1311"/>
      <c r="AK68" s="457"/>
      <c r="AL68" s="1311"/>
      <c r="AO68" s="1311"/>
      <c r="AP68" s="457"/>
      <c r="AQ68" s="1311"/>
      <c r="AR68" s="1311"/>
      <c r="AS68" s="1311"/>
      <c r="AT68" s="1311"/>
      <c r="AU68" s="1311"/>
      <c r="AV68" s="1311"/>
      <c r="AW68" s="638"/>
      <c r="AX68" s="450"/>
      <c r="BA68" s="1311"/>
      <c r="BB68" s="638"/>
      <c r="BC68" s="450"/>
      <c r="LN68" s="456"/>
      <c r="MC68" s="448"/>
    </row>
    <row r="69" spans="1:341" ht="9" customHeight="1">
      <c r="A69" s="3241"/>
      <c r="B69" s="3241"/>
      <c r="C69" s="94"/>
      <c r="D69" s="1"/>
      <c r="E69" s="1"/>
      <c r="F69" s="1"/>
      <c r="G69" s="82"/>
      <c r="H69" s="35"/>
      <c r="I69" s="82"/>
      <c r="J69" s="597"/>
      <c r="K69" s="597"/>
      <c r="L69" s="597"/>
      <c r="M69" s="597"/>
      <c r="N69" s="597"/>
      <c r="O69" s="597"/>
      <c r="S69" s="151"/>
      <c r="T69" s="407"/>
      <c r="W69" s="1311"/>
      <c r="Z69" s="1311"/>
      <c r="AA69" s="457"/>
      <c r="AB69" s="1311"/>
      <c r="AE69" s="1311"/>
      <c r="AF69" s="457"/>
      <c r="AG69" s="1311"/>
      <c r="AJ69" s="1311"/>
      <c r="AK69" s="457"/>
      <c r="AL69" s="1311"/>
      <c r="AO69" s="1311"/>
      <c r="AP69" s="457"/>
      <c r="AQ69" s="1311"/>
      <c r="AR69" s="1311"/>
      <c r="AS69" s="1311"/>
      <c r="AT69" s="1311"/>
      <c r="AU69" s="1311"/>
      <c r="AV69" s="1311"/>
      <c r="AW69" s="638"/>
      <c r="AX69" s="450"/>
      <c r="BA69" s="1311"/>
      <c r="BB69" s="638"/>
      <c r="BC69" s="450"/>
      <c r="LN69" s="456"/>
      <c r="MC69" s="448"/>
    </row>
    <row r="70" spans="1:341" ht="12" customHeight="1">
      <c r="A70" s="3241"/>
      <c r="B70" s="3241"/>
      <c r="C70" s="3154" t="s">
        <v>4392</v>
      </c>
      <c r="D70" s="3154"/>
      <c r="E70" s="3154"/>
      <c r="F70" s="3154"/>
      <c r="G70" s="103"/>
      <c r="H70" s="51"/>
      <c r="I70" s="1664" t="s">
        <v>4391</v>
      </c>
      <c r="J70" s="1667"/>
      <c r="K70" s="1668"/>
      <c r="L70" s="1668"/>
      <c r="M70" s="1668"/>
      <c r="N70" s="1668"/>
      <c r="O70" s="1667"/>
      <c r="P70" s="1042" t="s">
        <v>4390</v>
      </c>
      <c r="R70" s="3155"/>
      <c r="S70" s="3156"/>
      <c r="T70" s="3156"/>
      <c r="U70" s="3156"/>
      <c r="V70" s="3157"/>
      <c r="W70" s="1311"/>
      <c r="Z70" s="1311"/>
      <c r="AA70" s="457"/>
      <c r="AB70" s="1311"/>
      <c r="AE70" s="1311"/>
      <c r="AF70" s="457"/>
      <c r="AG70" s="1311"/>
      <c r="AJ70" s="1311"/>
      <c r="AK70" s="457"/>
      <c r="AL70" s="1311"/>
      <c r="AO70" s="1311"/>
      <c r="AP70" s="457"/>
      <c r="AQ70" s="1311"/>
      <c r="AR70" s="1311"/>
      <c r="AS70" s="1311"/>
      <c r="AT70" s="1311"/>
      <c r="AU70" s="1311"/>
      <c r="AV70" s="1311"/>
      <c r="AW70" s="638"/>
      <c r="AX70" s="450"/>
      <c r="BA70" s="1311"/>
      <c r="BB70" s="638"/>
      <c r="BC70" s="450"/>
      <c r="LN70" s="456"/>
      <c r="MC70" s="448"/>
    </row>
    <row r="71" spans="1:341" ht="15" customHeight="1">
      <c r="A71" s="3241"/>
      <c r="B71" s="3241"/>
      <c r="C71" s="3154"/>
      <c r="D71" s="3154"/>
      <c r="E71" s="3154"/>
      <c r="F71" s="3154"/>
      <c r="G71" s="103"/>
      <c r="H71" s="51" t="s">
        <v>4287</v>
      </c>
      <c r="I71" s="1663" t="str">
        <f>IF(OR(NOT(K53="Income Averaging"),O71=0),"",IF(OR(AND(J71&gt;0,ABS(J71-P71)&gt;0.01),AND(K71&gt;0,ABS(K71-P71)&gt;0.01),AND(L71&gt;0,ABS(L71-P71)&gt;0.01),AND(M71&gt;0,ABS(M71-P71)&gt;0.01),AND(N71&gt;0,ABS(N71-P71)&gt;0.01)), "No", "Yes"))</f>
        <v/>
      </c>
      <c r="J71" s="1453">
        <f t="shared" ref="J71:O71" si="348">IF(OR(J63=0,J56=0),0,J56/J63)</f>
        <v>0</v>
      </c>
      <c r="K71" s="1454">
        <f t="shared" si="348"/>
        <v>0</v>
      </c>
      <c r="L71" s="1454">
        <f t="shared" si="348"/>
        <v>0</v>
      </c>
      <c r="M71" s="1454">
        <f t="shared" si="348"/>
        <v>0</v>
      </c>
      <c r="N71" s="1455">
        <f t="shared" si="348"/>
        <v>0</v>
      </c>
      <c r="O71" s="1441">
        <f t="shared" si="348"/>
        <v>0</v>
      </c>
      <c r="P71" s="1439" t="str">
        <f>IF(O71=0,"",AVERAGEIF(J71:N71,"&gt;0"))</f>
        <v/>
      </c>
      <c r="R71" s="3160"/>
      <c r="S71" s="3161"/>
      <c r="T71" s="3161"/>
      <c r="U71" s="3161"/>
      <c r="V71" s="3162"/>
      <c r="W71" s="1311"/>
      <c r="Z71" s="1311"/>
      <c r="AA71" s="457"/>
      <c r="AB71" s="1311"/>
      <c r="AE71" s="1311"/>
      <c r="AF71" s="457"/>
      <c r="AG71" s="1311"/>
      <c r="AJ71" s="1311"/>
      <c r="AK71" s="457"/>
      <c r="AL71" s="1311"/>
      <c r="AO71" s="1311"/>
      <c r="AP71" s="457"/>
      <c r="AQ71" s="1311"/>
      <c r="AR71" s="1311"/>
      <c r="AS71" s="1311"/>
      <c r="AT71" s="1311"/>
      <c r="AU71" s="1311"/>
      <c r="AV71" s="1311"/>
      <c r="AW71" s="638"/>
      <c r="AX71" s="450"/>
      <c r="BA71" s="1311"/>
      <c r="BB71" s="638"/>
      <c r="BC71" s="450"/>
      <c r="LN71" s="456"/>
      <c r="MC71" s="448"/>
    </row>
    <row r="72" spans="1:341" ht="15" customHeight="1">
      <c r="A72" s="3241"/>
      <c r="B72" s="3241"/>
      <c r="C72" s="3154"/>
      <c r="D72" s="3154"/>
      <c r="E72" s="3154"/>
      <c r="F72" s="3154"/>
      <c r="G72" s="103"/>
      <c r="H72" s="51" t="s">
        <v>4288</v>
      </c>
      <c r="I72" s="1663" t="str">
        <f>IF(OR(NOT(K53="Income Averaging"),O72=0),"",IF(OR(AND(J72&gt;0,ABS(J72-P72)&gt;0.01),AND(K72&gt;0,ABS(K72-P72)&gt;0.01),AND(L72&gt;0,ABS(L72-P72)&gt;0.01),AND(M72&gt;0,ABS(M72-P72)&gt;0.01),AND(N72&gt;0,ABS(N72-P72)&gt;0.01)), "No", "Yes"))</f>
        <v/>
      </c>
      <c r="J72" s="1456">
        <f t="shared" ref="J72:O72" si="349">IF(OR(J63=0,J57=0),0,J57/J63)</f>
        <v>0</v>
      </c>
      <c r="K72" s="1457">
        <f t="shared" si="349"/>
        <v>0</v>
      </c>
      <c r="L72" s="1457">
        <f t="shared" si="349"/>
        <v>0</v>
      </c>
      <c r="M72" s="1457">
        <f t="shared" si="349"/>
        <v>0</v>
      </c>
      <c r="N72" s="1458">
        <f t="shared" si="349"/>
        <v>0</v>
      </c>
      <c r="O72" s="1442">
        <f t="shared" si="349"/>
        <v>0</v>
      </c>
      <c r="P72" s="1439" t="str">
        <f t="shared" ref="P72:P77" si="350">IF(O72=0,"",AVERAGEIF(J72:N72,"&gt;0"))</f>
        <v/>
      </c>
      <c r="R72" s="3160"/>
      <c r="S72" s="3161"/>
      <c r="T72" s="3161"/>
      <c r="U72" s="3161"/>
      <c r="V72" s="3162"/>
      <c r="W72" s="1311"/>
      <c r="Z72" s="1311"/>
      <c r="AA72" s="457"/>
      <c r="AB72" s="1311"/>
      <c r="AE72" s="1311"/>
      <c r="AF72" s="457"/>
      <c r="AG72" s="1311"/>
      <c r="AJ72" s="1311"/>
      <c r="AK72" s="457"/>
      <c r="AL72" s="1311"/>
      <c r="AO72" s="1311"/>
      <c r="AP72" s="457"/>
      <c r="AQ72" s="1311"/>
      <c r="AR72" s="1311"/>
      <c r="AS72" s="1311"/>
      <c r="AT72" s="1311"/>
      <c r="AU72" s="1311"/>
      <c r="AV72" s="1311"/>
      <c r="AW72" s="638"/>
      <c r="AX72" s="450"/>
      <c r="BA72" s="1311"/>
      <c r="BB72" s="638"/>
      <c r="BC72" s="450"/>
      <c r="LN72" s="456"/>
      <c r="MC72" s="448"/>
    </row>
    <row r="73" spans="1:341" ht="15" customHeight="1">
      <c r="A73" s="3241"/>
      <c r="B73" s="3241"/>
      <c r="C73" s="1665"/>
      <c r="D73" s="3158" t="s">
        <v>4712</v>
      </c>
      <c r="E73" s="3159"/>
      <c r="F73" s="3159"/>
      <c r="G73" s="3159"/>
      <c r="H73" s="51" t="s">
        <v>1136</v>
      </c>
      <c r="I73" s="1663" t="str">
        <f>IF(OR(NOT(K53="Income Averaging"),O73=0),"",IF(OR(AND(J73&gt;0,ABS(J73-P73)&gt;0.01),AND(K73&gt;0,ABS(K73-P73)&gt;0.01),AND(L73&gt;0,ABS(L73-P73)&gt;0.01),AND(M73&gt;0,ABS(M73-P73)&gt;0.01),AND(N73&gt;0,ABS(N73-P73)&gt;0.01)), "No", "Yes"))</f>
        <v/>
      </c>
      <c r="J73" s="1456">
        <f t="shared" ref="J73:O73" si="351">IF(OR(J63=0,J58=0),0,J58/J63)</f>
        <v>0</v>
      </c>
      <c r="K73" s="1457">
        <f t="shared" si="351"/>
        <v>0.75</v>
      </c>
      <c r="L73" s="1457">
        <f t="shared" si="351"/>
        <v>0.77142857142857146</v>
      </c>
      <c r="M73" s="1457">
        <f t="shared" si="351"/>
        <v>0.75</v>
      </c>
      <c r="N73" s="1458">
        <f t="shared" si="351"/>
        <v>0</v>
      </c>
      <c r="O73" s="1442">
        <f t="shared" si="351"/>
        <v>0.76056338028169013</v>
      </c>
      <c r="P73" s="1439">
        <f t="shared" si="350"/>
        <v>0.75714285714285712</v>
      </c>
      <c r="R73" s="3160"/>
      <c r="S73" s="3161"/>
      <c r="T73" s="3161"/>
      <c r="U73" s="3161"/>
      <c r="V73" s="3162"/>
      <c r="W73" s="1311"/>
      <c r="Z73" s="1311"/>
      <c r="AA73" s="457"/>
      <c r="AB73" s="1311"/>
      <c r="AE73" s="1311"/>
      <c r="AF73" s="457"/>
      <c r="AG73" s="1311"/>
      <c r="AJ73" s="1311"/>
      <c r="AK73" s="457"/>
      <c r="AL73" s="1311"/>
      <c r="AO73" s="1311"/>
      <c r="AP73" s="457"/>
      <c r="AQ73" s="1311"/>
      <c r="AR73" s="1311"/>
      <c r="AS73" s="1311"/>
      <c r="AT73" s="1311"/>
      <c r="AU73" s="1311"/>
      <c r="AV73" s="1311"/>
      <c r="AW73" s="638"/>
      <c r="AX73" s="450"/>
      <c r="BA73" s="1311"/>
      <c r="BB73" s="638"/>
      <c r="BC73" s="450"/>
      <c r="LN73" s="456"/>
      <c r="MC73" s="448"/>
    </row>
    <row r="74" spans="1:341" ht="15" customHeight="1">
      <c r="A74" s="3241"/>
      <c r="B74" s="3241"/>
      <c r="C74" s="1665"/>
      <c r="D74" s="3159"/>
      <c r="E74" s="3159"/>
      <c r="F74" s="3159"/>
      <c r="G74" s="3159"/>
      <c r="H74" s="51" t="s">
        <v>116</v>
      </c>
      <c r="I74" s="1663" t="str">
        <f>IF(OR(NOT(K53="Income Averaging"),O74=0),"",IF(OR(AND(J74&gt;0,ABS(J74-P74)&gt;0.01),AND(K74&gt;0,ABS(K74-P74)&gt;0.01),AND(L74&gt;0,ABS(L74-P74)&gt;0.01),AND(M74&gt;0,ABS(M74-P74)&gt;0.01),AND(N74&gt;0,ABS(N74-P74)&gt;0.01)), "No", "Yes"))</f>
        <v/>
      </c>
      <c r="J74" s="1619">
        <f t="shared" ref="J74:O74" si="352">IF(OR(J63=0,J59=0),0,J59/J63)</f>
        <v>0</v>
      </c>
      <c r="K74" s="1620">
        <f t="shared" si="352"/>
        <v>0.25</v>
      </c>
      <c r="L74" s="1620">
        <f t="shared" si="352"/>
        <v>0.22857142857142856</v>
      </c>
      <c r="M74" s="1620">
        <f t="shared" si="352"/>
        <v>0.25</v>
      </c>
      <c r="N74" s="1621">
        <f t="shared" si="352"/>
        <v>0</v>
      </c>
      <c r="O74" s="1622">
        <f t="shared" si="352"/>
        <v>0.23943661971830985</v>
      </c>
      <c r="P74" s="1439">
        <f t="shared" si="350"/>
        <v>0.24285714285714285</v>
      </c>
      <c r="R74" s="3160"/>
      <c r="S74" s="3161"/>
      <c r="T74" s="3161"/>
      <c r="U74" s="3161"/>
      <c r="V74" s="3162"/>
      <c r="W74" s="1311"/>
      <c r="Z74" s="1311"/>
      <c r="AA74" s="457"/>
      <c r="AB74" s="1311"/>
      <c r="AE74" s="1311"/>
      <c r="AF74" s="457"/>
      <c r="AG74" s="1311"/>
      <c r="AJ74" s="1311"/>
      <c r="AK74" s="457"/>
      <c r="AL74" s="1311"/>
      <c r="AO74" s="1311"/>
      <c r="AP74" s="457"/>
      <c r="AQ74" s="1311"/>
      <c r="AR74" s="1311"/>
      <c r="AS74" s="1311"/>
      <c r="AT74" s="1311"/>
      <c r="AU74" s="1311"/>
      <c r="AV74" s="1311"/>
      <c r="AW74" s="638"/>
      <c r="AX74" s="450"/>
      <c r="BA74" s="1311"/>
      <c r="BB74" s="638"/>
      <c r="BC74" s="450"/>
      <c r="LN74" s="456"/>
      <c r="MC74" s="448"/>
    </row>
    <row r="75" spans="1:341" ht="15" customHeight="1">
      <c r="A75" s="1600"/>
      <c r="B75" s="1600"/>
      <c r="C75" s="1665"/>
      <c r="D75" s="3159"/>
      <c r="E75" s="3159"/>
      <c r="F75" s="3159"/>
      <c r="G75" s="3159"/>
      <c r="H75" s="51" t="s">
        <v>4289</v>
      </c>
      <c r="I75" s="1663" t="str">
        <f>IF(OR(NOT(K53="Income Averaging"),O75=0),"",IF(OR(AND(J75&gt;0,ABS(J75-P75)&gt;0.01),AND(K75&gt;0,ABS(K75-P75)&gt;0.01),AND(L75&gt;0,ABS(L75-P75)&gt;0.01),AND(M75&gt;0,ABS(M75-P75)&gt;0.01),AND(N75&gt;0,ABS(N75-P75)&gt;0.01)), "No", "Yes"))</f>
        <v/>
      </c>
      <c r="J75" s="1456">
        <f t="shared" ref="J75:O75" si="353">IF(OR(J63=0,J60=0),0,J60/J63)</f>
        <v>0</v>
      </c>
      <c r="K75" s="1457">
        <f t="shared" si="353"/>
        <v>0</v>
      </c>
      <c r="L75" s="1457">
        <f t="shared" si="353"/>
        <v>0</v>
      </c>
      <c r="M75" s="1457">
        <f t="shared" si="353"/>
        <v>0</v>
      </c>
      <c r="N75" s="1458">
        <f t="shared" si="353"/>
        <v>0</v>
      </c>
      <c r="O75" s="1442">
        <f t="shared" si="353"/>
        <v>0</v>
      </c>
      <c r="P75" s="1439" t="str">
        <f t="shared" si="350"/>
        <v/>
      </c>
      <c r="R75" s="3160"/>
      <c r="S75" s="3161"/>
      <c r="T75" s="3161"/>
      <c r="U75" s="3161"/>
      <c r="V75" s="3162"/>
      <c r="W75" s="1311"/>
      <c r="Z75" s="1311"/>
      <c r="AA75" s="457"/>
      <c r="AB75" s="1311"/>
      <c r="AE75" s="1311"/>
      <c r="AF75" s="457"/>
      <c r="AG75" s="1311"/>
      <c r="AJ75" s="1311"/>
      <c r="AK75" s="457"/>
      <c r="AL75" s="1311"/>
      <c r="AO75" s="1311"/>
      <c r="AP75" s="457"/>
      <c r="AQ75" s="1311"/>
      <c r="AR75" s="1311"/>
      <c r="AS75" s="1311"/>
      <c r="AT75" s="1311"/>
      <c r="AU75" s="1311"/>
      <c r="AV75" s="1311"/>
      <c r="AW75" s="638"/>
      <c r="AX75" s="450"/>
      <c r="BA75" s="1311"/>
      <c r="BB75" s="638"/>
      <c r="BC75" s="450"/>
      <c r="LN75" s="456"/>
      <c r="MC75" s="448"/>
    </row>
    <row r="76" spans="1:341" ht="15" customHeight="1">
      <c r="A76" s="1600"/>
      <c r="B76" s="1600"/>
      <c r="C76" s="1665"/>
      <c r="D76" s="3159"/>
      <c r="E76" s="3159"/>
      <c r="F76" s="3159"/>
      <c r="G76" s="3159"/>
      <c r="H76" s="51" t="s">
        <v>4290</v>
      </c>
      <c r="I76" s="1663" t="str">
        <f>IF(OR(NOT(K53="Income Averaging"),O76=0),"",IF(OR(AND(J76&gt;0,ABS(J76-P76)&gt;0.01),AND(K76&gt;0,ABS(K76-P76)&gt;0.01),AND(L76&gt;0,ABS(L76-P76)&gt;0.01),AND(M76&gt;0,ABS(M76-P76)&gt;0.01),AND(N76&gt;0,ABS(N76-P76)&gt;0.01)), "No", "Yes"))</f>
        <v/>
      </c>
      <c r="J76" s="1456">
        <f t="shared" ref="J76:O76" si="354">IF(OR(J63=0,J61=0),0,J61/J63)</f>
        <v>0</v>
      </c>
      <c r="K76" s="1457">
        <f t="shared" si="354"/>
        <v>0</v>
      </c>
      <c r="L76" s="1457">
        <f t="shared" si="354"/>
        <v>0</v>
      </c>
      <c r="M76" s="1457">
        <f t="shared" si="354"/>
        <v>0</v>
      </c>
      <c r="N76" s="1458">
        <f t="shared" si="354"/>
        <v>0</v>
      </c>
      <c r="O76" s="1442">
        <f t="shared" si="354"/>
        <v>0</v>
      </c>
      <c r="P76" s="1439" t="str">
        <f t="shared" si="350"/>
        <v/>
      </c>
      <c r="R76" s="3160"/>
      <c r="S76" s="3161"/>
      <c r="T76" s="3161"/>
      <c r="U76" s="3161"/>
      <c r="V76" s="3162"/>
      <c r="W76" s="1311"/>
      <c r="Z76" s="1311"/>
      <c r="AA76" s="457"/>
      <c r="AB76" s="1311"/>
      <c r="AE76" s="1311"/>
      <c r="AF76" s="457"/>
      <c r="AG76" s="1311"/>
      <c r="AJ76" s="1311"/>
      <c r="AK76" s="457"/>
      <c r="AL76" s="1311"/>
      <c r="AO76" s="1311"/>
      <c r="AP76" s="457"/>
      <c r="AQ76" s="1311"/>
      <c r="AR76" s="1311"/>
      <c r="AS76" s="1311"/>
      <c r="AT76" s="1311"/>
      <c r="AU76" s="1311"/>
      <c r="AV76" s="1311"/>
      <c r="AW76" s="638"/>
      <c r="AX76" s="450"/>
      <c r="BA76" s="1311"/>
      <c r="BB76" s="638"/>
      <c r="BC76" s="450"/>
      <c r="LN76" s="456"/>
      <c r="MC76" s="448"/>
    </row>
    <row r="77" spans="1:341" ht="15" customHeight="1">
      <c r="A77" s="1600"/>
      <c r="B77" s="1600"/>
      <c r="C77" s="1665"/>
      <c r="D77" s="3159"/>
      <c r="E77" s="3159"/>
      <c r="F77" s="3159"/>
      <c r="G77" s="3159"/>
      <c r="H77" s="51" t="s">
        <v>4291</v>
      </c>
      <c r="I77" s="1663" t="str">
        <f>IF(OR(NOT(K53="Income Averaging"),O77=0),"",IF(OR(AND(J77&gt;0,ABS(J77-P77)&gt;0.01),AND(K77&gt;0,ABS(K77-P77)&gt;0.01),AND(L77&gt;0,ABS(L77-P77)&gt;0.01),AND(M77&gt;0,ABS(M77-P77)&gt;0.01),AND(N77&gt;0,ABS(N77-P77)&gt;0.01)), "No", "Yes"))</f>
        <v/>
      </c>
      <c r="J77" s="1459">
        <f t="shared" ref="J77:O77" si="355">IF(OR(J63=0,J62=0),0,J62/J63)</f>
        <v>0</v>
      </c>
      <c r="K77" s="1460">
        <f t="shared" si="355"/>
        <v>0</v>
      </c>
      <c r="L77" s="1460">
        <f t="shared" si="355"/>
        <v>0</v>
      </c>
      <c r="M77" s="1460">
        <f t="shared" si="355"/>
        <v>0</v>
      </c>
      <c r="N77" s="1461">
        <f t="shared" si="355"/>
        <v>0</v>
      </c>
      <c r="O77" s="1443">
        <f t="shared" si="355"/>
        <v>0</v>
      </c>
      <c r="P77" s="1439" t="str">
        <f t="shared" si="350"/>
        <v/>
      </c>
      <c r="R77" s="3164"/>
      <c r="S77" s="3165"/>
      <c r="T77" s="3165"/>
      <c r="U77" s="3165"/>
      <c r="V77" s="3166"/>
      <c r="W77" s="1311"/>
      <c r="Z77" s="1311"/>
      <c r="AA77" s="457"/>
      <c r="AB77" s="1311"/>
      <c r="AE77" s="1311"/>
      <c r="AF77" s="457"/>
      <c r="AG77" s="1311"/>
      <c r="AJ77" s="1311"/>
      <c r="AK77" s="457"/>
      <c r="AL77" s="1311"/>
      <c r="AO77" s="1311"/>
      <c r="AP77" s="457"/>
      <c r="AQ77" s="1311"/>
      <c r="AR77" s="1311"/>
      <c r="AS77" s="1311"/>
      <c r="AT77" s="1311"/>
      <c r="AU77" s="1311"/>
      <c r="AV77" s="1311"/>
      <c r="AW77" s="638"/>
      <c r="AX77" s="450"/>
      <c r="BA77" s="1311"/>
      <c r="BB77" s="638"/>
      <c r="BC77" s="450"/>
      <c r="LN77" s="456"/>
      <c r="MC77" s="448"/>
    </row>
    <row r="78" spans="1:341" ht="12" customHeight="1">
      <c r="A78" s="1600"/>
      <c r="B78" s="1600"/>
      <c r="C78" s="1666"/>
      <c r="D78" s="1666"/>
      <c r="E78" s="1666"/>
      <c r="F78" s="1666"/>
      <c r="G78" s="1666"/>
      <c r="H78" s="1666"/>
      <c r="I78" s="1666"/>
      <c r="J78" s="1669"/>
      <c r="K78" s="1669"/>
      <c r="L78" s="1669"/>
      <c r="M78" s="1669"/>
      <c r="N78" s="1669"/>
      <c r="O78" s="1669"/>
      <c r="P78" s="448"/>
      <c r="W78" s="1311"/>
      <c r="Z78" s="1311"/>
      <c r="AA78" s="457"/>
      <c r="AB78" s="1311"/>
      <c r="AE78" s="1311"/>
      <c r="AF78" s="457"/>
      <c r="AG78" s="1311"/>
      <c r="AJ78" s="1311"/>
      <c r="AK78" s="457"/>
      <c r="AL78" s="1311"/>
      <c r="AO78" s="1311"/>
      <c r="AP78" s="457"/>
      <c r="AQ78" s="1311"/>
      <c r="AR78" s="1311"/>
      <c r="AS78" s="1311"/>
      <c r="AT78" s="1311"/>
      <c r="AU78" s="1311"/>
      <c r="AV78" s="1311"/>
      <c r="AW78" s="638"/>
      <c r="AX78" s="450"/>
      <c r="BA78" s="1311"/>
      <c r="BB78" s="638"/>
      <c r="BC78" s="450"/>
      <c r="LN78" s="456"/>
      <c r="MC78" s="448"/>
    </row>
    <row r="79" spans="1:341" ht="12" customHeight="1">
      <c r="A79" s="1440"/>
      <c r="B79" s="1440"/>
      <c r="C79" s="94"/>
      <c r="D79" s="1"/>
      <c r="E79" s="1"/>
      <c r="F79" s="1"/>
      <c r="G79" s="82"/>
      <c r="H79" s="35"/>
      <c r="I79" s="82"/>
      <c r="J79" s="597"/>
      <c r="K79" s="597"/>
      <c r="L79" s="597"/>
      <c r="M79" s="597"/>
      <c r="N79" s="597"/>
      <c r="O79" s="597"/>
      <c r="S79" s="151"/>
      <c r="T79" s="407"/>
      <c r="W79" s="1311"/>
      <c r="Z79" s="1311"/>
      <c r="AA79" s="457"/>
      <c r="AB79" s="1311"/>
      <c r="AE79" s="1311"/>
      <c r="AF79" s="457"/>
      <c r="AG79" s="1311"/>
      <c r="AJ79" s="1311"/>
      <c r="AK79" s="457"/>
      <c r="AL79" s="1311"/>
      <c r="AO79" s="1311"/>
      <c r="AP79" s="457"/>
      <c r="AQ79" s="1311"/>
      <c r="AR79" s="1311"/>
      <c r="AS79" s="1311"/>
      <c r="AT79" s="1311"/>
      <c r="AU79" s="1311"/>
      <c r="AV79" s="1311"/>
      <c r="AW79" s="638"/>
      <c r="AX79" s="450"/>
      <c r="BA79" s="1311"/>
      <c r="BB79" s="638"/>
      <c r="BC79" s="450"/>
      <c r="LN79" s="456"/>
      <c r="MC79" s="448"/>
    </row>
    <row r="80" spans="1:341" ht="9" customHeight="1">
      <c r="A80" s="1440"/>
      <c r="B80" s="1440"/>
      <c r="C80" s="94"/>
      <c r="D80" s="1"/>
      <c r="E80" s="1"/>
      <c r="F80" s="1"/>
      <c r="G80" s="82"/>
      <c r="H80" s="35"/>
      <c r="I80" s="82"/>
      <c r="J80" s="597"/>
      <c r="K80" s="597"/>
      <c r="L80" s="597"/>
      <c r="M80" s="597"/>
      <c r="N80" s="597"/>
      <c r="O80" s="597"/>
      <c r="R80" s="312" t="str">
        <f>C81</f>
        <v>PBRA-Assisted</v>
      </c>
      <c r="S80" s="151"/>
      <c r="T80" s="407"/>
      <c r="W80" s="1311"/>
      <c r="Z80" s="1311"/>
      <c r="AA80" s="457"/>
      <c r="AB80" s="1311"/>
      <c r="AE80" s="1311"/>
      <c r="AF80" s="457"/>
      <c r="AG80" s="1311"/>
      <c r="AJ80" s="1311"/>
      <c r="AK80" s="457"/>
      <c r="AL80" s="1311"/>
      <c r="AO80" s="1311"/>
      <c r="AP80" s="457"/>
      <c r="AQ80" s="1311"/>
      <c r="AR80" s="1311"/>
      <c r="AS80" s="1311"/>
      <c r="AT80" s="1311"/>
      <c r="AU80" s="1311"/>
      <c r="AV80" s="1311"/>
      <c r="AW80" s="638"/>
      <c r="AX80" s="450"/>
      <c r="BA80" s="1311"/>
      <c r="BB80" s="638"/>
      <c r="BC80" s="450"/>
      <c r="LN80" s="456"/>
      <c r="MC80" s="448"/>
    </row>
    <row r="81" spans="1:341" ht="15" customHeight="1">
      <c r="A81" s="1440"/>
      <c r="B81" s="1440"/>
      <c r="C81" s="94" t="s">
        <v>921</v>
      </c>
      <c r="D81" s="1"/>
      <c r="E81" s="110"/>
      <c r="F81" s="1"/>
      <c r="G81" s="82"/>
      <c r="H81" s="35" t="s">
        <v>4287</v>
      </c>
      <c r="I81" s="82"/>
      <c r="J81" s="1462">
        <f>CO48</f>
        <v>0</v>
      </c>
      <c r="K81" s="1463">
        <f>CP48</f>
        <v>0</v>
      </c>
      <c r="L81" s="1463">
        <f>CQ48</f>
        <v>0</v>
      </c>
      <c r="M81" s="1463">
        <f>CR48</f>
        <v>0</v>
      </c>
      <c r="N81" s="1464">
        <f>CS48</f>
        <v>0</v>
      </c>
      <c r="O81" s="958">
        <f t="shared" ref="O81:O88" si="356">SUM(J81:N81)</f>
        <v>0</v>
      </c>
      <c r="R81" s="3155"/>
      <c r="S81" s="3156"/>
      <c r="T81" s="3156"/>
      <c r="U81" s="3156"/>
      <c r="V81" s="3157"/>
      <c r="W81" s="1311"/>
      <c r="Z81" s="1311"/>
      <c r="AA81" s="457"/>
      <c r="AB81" s="1311"/>
      <c r="AE81" s="1311"/>
      <c r="AF81" s="457"/>
      <c r="AG81" s="1311"/>
      <c r="AJ81" s="1311"/>
      <c r="AK81" s="457"/>
      <c r="AL81" s="1311"/>
      <c r="AO81" s="1311"/>
      <c r="AP81" s="457"/>
      <c r="AQ81" s="458"/>
      <c r="AR81" s="458"/>
      <c r="AS81" s="458"/>
      <c r="AT81" s="458"/>
      <c r="AU81" s="458"/>
      <c r="AV81" s="458"/>
      <c r="AW81" s="457"/>
      <c r="AX81" s="450"/>
      <c r="BA81" s="458"/>
      <c r="BB81" s="457"/>
      <c r="BC81" s="450"/>
      <c r="LN81" s="456"/>
      <c r="MC81" s="448"/>
    </row>
    <row r="82" spans="1:341" ht="15" customHeight="1">
      <c r="A82" s="1440"/>
      <c r="B82" s="1440"/>
      <c r="C82" s="35" t="s">
        <v>2479</v>
      </c>
      <c r="D82" s="1"/>
      <c r="E82" s="110"/>
      <c r="F82" s="1"/>
      <c r="G82" s="82"/>
      <c r="H82" s="35" t="s">
        <v>4288</v>
      </c>
      <c r="I82" s="82"/>
      <c r="J82" s="1465">
        <f>CJ48</f>
        <v>0</v>
      </c>
      <c r="K82" s="1466">
        <f>CK48</f>
        <v>0</v>
      </c>
      <c r="L82" s="1466">
        <f>CL48</f>
        <v>0</v>
      </c>
      <c r="M82" s="1466">
        <f>CM48</f>
        <v>0</v>
      </c>
      <c r="N82" s="1467">
        <f>CN48</f>
        <v>0</v>
      </c>
      <c r="O82" s="1412">
        <f t="shared" si="356"/>
        <v>0</v>
      </c>
      <c r="R82" s="3160"/>
      <c r="S82" s="3161"/>
      <c r="T82" s="3161"/>
      <c r="U82" s="3161"/>
      <c r="V82" s="3162"/>
      <c r="W82" s="1311"/>
      <c r="Z82" s="1311"/>
      <c r="AA82" s="457"/>
      <c r="AB82" s="1311"/>
      <c r="AE82" s="1311"/>
      <c r="AF82" s="457"/>
      <c r="AG82" s="1311"/>
      <c r="AJ82" s="1311"/>
      <c r="AK82" s="457"/>
      <c r="AL82" s="1311"/>
      <c r="AO82" s="1311"/>
      <c r="AP82" s="457"/>
      <c r="AQ82" s="458"/>
      <c r="AR82" s="458"/>
      <c r="AS82" s="458"/>
      <c r="AT82" s="458"/>
      <c r="AU82" s="458"/>
      <c r="AV82" s="458"/>
      <c r="AW82" s="457"/>
      <c r="AX82" s="450"/>
      <c r="BA82" s="458"/>
      <c r="BB82" s="457"/>
      <c r="BC82" s="450"/>
      <c r="LN82" s="456"/>
      <c r="MC82" s="448"/>
    </row>
    <row r="83" spans="1:341" ht="15" customHeight="1">
      <c r="A83" s="1440"/>
      <c r="B83" s="1440"/>
      <c r="C83" s="94"/>
      <c r="D83" s="1"/>
      <c r="E83" s="110"/>
      <c r="F83" s="1"/>
      <c r="G83" s="82"/>
      <c r="H83" s="35" t="s">
        <v>1136</v>
      </c>
      <c r="I83" s="82"/>
      <c r="J83" s="1465">
        <f>CE48</f>
        <v>0</v>
      </c>
      <c r="K83" s="1466">
        <f>CF48</f>
        <v>0</v>
      </c>
      <c r="L83" s="1466">
        <f>CG48</f>
        <v>0</v>
      </c>
      <c r="M83" s="1466">
        <f>CH48</f>
        <v>0</v>
      </c>
      <c r="N83" s="1467">
        <f>CI48</f>
        <v>0</v>
      </c>
      <c r="O83" s="1412">
        <f t="shared" si="356"/>
        <v>0</v>
      </c>
      <c r="R83" s="3160"/>
      <c r="S83" s="3161"/>
      <c r="T83" s="3161"/>
      <c r="U83" s="3161"/>
      <c r="V83" s="3162"/>
      <c r="W83" s="1311"/>
      <c r="Z83" s="1311"/>
      <c r="AA83" s="457"/>
      <c r="AB83" s="1311"/>
      <c r="AE83" s="1311"/>
      <c r="AF83" s="457"/>
      <c r="AG83" s="1311"/>
      <c r="AJ83" s="1311"/>
      <c r="AK83" s="457"/>
      <c r="AL83" s="1311"/>
      <c r="AO83" s="1311"/>
      <c r="AP83" s="457"/>
      <c r="AQ83" s="458"/>
      <c r="AR83" s="458"/>
      <c r="AS83" s="458"/>
      <c r="AT83" s="458"/>
      <c r="AU83" s="458"/>
      <c r="AV83" s="458"/>
      <c r="AW83" s="457"/>
      <c r="AX83" s="450"/>
      <c r="BA83" s="458"/>
      <c r="BB83" s="457"/>
      <c r="BC83" s="450"/>
      <c r="LN83" s="456"/>
      <c r="MC83" s="448"/>
    </row>
    <row r="84" spans="1:341" ht="15" customHeight="1">
      <c r="A84" s="1440"/>
      <c r="B84" s="1440"/>
      <c r="C84" s="94"/>
      <c r="D84" s="1"/>
      <c r="E84" s="110"/>
      <c r="F84" s="1"/>
      <c r="G84" s="82"/>
      <c r="H84" s="51" t="s">
        <v>116</v>
      </c>
      <c r="I84" s="1154"/>
      <c r="J84" s="1486">
        <f>BZ48</f>
        <v>0</v>
      </c>
      <c r="K84" s="1487">
        <f>CA48</f>
        <v>0</v>
      </c>
      <c r="L84" s="1487">
        <f>CB48</f>
        <v>0</v>
      </c>
      <c r="M84" s="1487">
        <f>CC48</f>
        <v>0</v>
      </c>
      <c r="N84" s="1488">
        <f>CD48</f>
        <v>0</v>
      </c>
      <c r="O84" s="601">
        <f t="shared" si="356"/>
        <v>0</v>
      </c>
      <c r="R84" s="3160"/>
      <c r="S84" s="3161"/>
      <c r="T84" s="3161"/>
      <c r="U84" s="3161"/>
      <c r="V84" s="3162"/>
      <c r="W84" s="1311"/>
      <c r="Z84" s="1311"/>
      <c r="AA84" s="457"/>
      <c r="AB84" s="1311"/>
      <c r="AE84" s="1311"/>
      <c r="AF84" s="457"/>
      <c r="AG84" s="1311"/>
      <c r="AJ84" s="1311"/>
      <c r="AK84" s="457"/>
      <c r="AL84" s="1311"/>
      <c r="AO84" s="1311"/>
      <c r="AP84" s="457"/>
      <c r="AQ84" s="458"/>
      <c r="AR84" s="458"/>
      <c r="AS84" s="458"/>
      <c r="AT84" s="458"/>
      <c r="AU84" s="458"/>
      <c r="AV84" s="458"/>
      <c r="AW84" s="457"/>
      <c r="AX84" s="450"/>
      <c r="BA84" s="458"/>
      <c r="BB84" s="457"/>
      <c r="BC84" s="450"/>
      <c r="LN84" s="456"/>
      <c r="MC84" s="448"/>
    </row>
    <row r="85" spans="1:341" ht="15" customHeight="1">
      <c r="A85" s="1440"/>
      <c r="B85" s="1440"/>
      <c r="C85" s="94"/>
      <c r="D85" s="1"/>
      <c r="E85" s="110"/>
      <c r="F85" s="1"/>
      <c r="G85" s="82"/>
      <c r="H85" s="51" t="s">
        <v>4289</v>
      </c>
      <c r="I85" s="1154"/>
      <c r="J85" s="1465">
        <f>BU48</f>
        <v>0</v>
      </c>
      <c r="K85" s="1466">
        <f>BV48</f>
        <v>0</v>
      </c>
      <c r="L85" s="1466">
        <f>BW48</f>
        <v>0</v>
      </c>
      <c r="M85" s="1466">
        <f>BX48</f>
        <v>0</v>
      </c>
      <c r="N85" s="1467">
        <f>BY48</f>
        <v>0</v>
      </c>
      <c r="O85" s="1412">
        <f t="shared" si="356"/>
        <v>0</v>
      </c>
      <c r="R85" s="3160"/>
      <c r="S85" s="3161"/>
      <c r="T85" s="3161"/>
      <c r="U85" s="3161"/>
      <c r="V85" s="3162"/>
      <c r="W85" s="1311"/>
      <c r="Z85" s="1311"/>
      <c r="AA85" s="457"/>
      <c r="AB85" s="1311"/>
      <c r="AE85" s="1311"/>
      <c r="AF85" s="457"/>
      <c r="AG85" s="1311"/>
      <c r="AJ85" s="1311"/>
      <c r="AK85" s="457"/>
      <c r="AL85" s="1311"/>
      <c r="AO85" s="1311"/>
      <c r="AP85" s="457"/>
      <c r="AQ85" s="458"/>
      <c r="AR85" s="458"/>
      <c r="AS85" s="458"/>
      <c r="AT85" s="458"/>
      <c r="AU85" s="458"/>
      <c r="AV85" s="458"/>
      <c r="AW85" s="457"/>
      <c r="AX85" s="450"/>
      <c r="BA85" s="458"/>
      <c r="BB85" s="457"/>
      <c r="BC85" s="450"/>
      <c r="LN85" s="456"/>
      <c r="MC85" s="448"/>
    </row>
    <row r="86" spans="1:341" ht="15" customHeight="1">
      <c r="A86" s="1438"/>
      <c r="B86" s="1438"/>
      <c r="C86" s="94"/>
      <c r="D86" s="1"/>
      <c r="E86" s="110"/>
      <c r="F86" s="1"/>
      <c r="G86" s="82"/>
      <c r="H86" s="35" t="s">
        <v>4290</v>
      </c>
      <c r="I86" s="82"/>
      <c r="J86" s="1465">
        <f>BP48</f>
        <v>0</v>
      </c>
      <c r="K86" s="1466">
        <f>BQ48</f>
        <v>0</v>
      </c>
      <c r="L86" s="1466">
        <f>BR48</f>
        <v>0</v>
      </c>
      <c r="M86" s="1466">
        <f>BS48</f>
        <v>0</v>
      </c>
      <c r="N86" s="1467">
        <f>BT48</f>
        <v>0</v>
      </c>
      <c r="O86" s="1412">
        <f t="shared" si="356"/>
        <v>0</v>
      </c>
      <c r="R86" s="3160"/>
      <c r="S86" s="3161"/>
      <c r="T86" s="3161"/>
      <c r="U86" s="3161"/>
      <c r="V86" s="3162"/>
      <c r="W86" s="1311"/>
      <c r="Z86" s="1311"/>
      <c r="AA86" s="457"/>
      <c r="AB86" s="1311"/>
      <c r="AE86" s="1311"/>
      <c r="AF86" s="457"/>
      <c r="AG86" s="1311"/>
      <c r="AJ86" s="1311"/>
      <c r="AK86" s="457"/>
      <c r="AL86" s="1311"/>
      <c r="AO86" s="1311"/>
      <c r="AP86" s="457"/>
      <c r="AQ86" s="458"/>
      <c r="AR86" s="458"/>
      <c r="AS86" s="458"/>
      <c r="AT86" s="458"/>
      <c r="AU86" s="458"/>
      <c r="AV86" s="458"/>
      <c r="AW86" s="457"/>
      <c r="AX86" s="450"/>
      <c r="BA86" s="458"/>
      <c r="BB86" s="457"/>
      <c r="BC86" s="450"/>
      <c r="LN86" s="456"/>
      <c r="MC86" s="448"/>
    </row>
    <row r="87" spans="1:341" ht="15" customHeight="1">
      <c r="A87" s="1438"/>
      <c r="B87" s="1438"/>
      <c r="D87" s="1"/>
      <c r="E87" s="110"/>
      <c r="F87" s="1"/>
      <c r="G87" s="82"/>
      <c r="H87" s="35" t="s">
        <v>4291</v>
      </c>
      <c r="I87" s="82"/>
      <c r="J87" s="1468">
        <f>BK48</f>
        <v>0</v>
      </c>
      <c r="K87" s="1469">
        <f>BL48</f>
        <v>0</v>
      </c>
      <c r="L87" s="1469">
        <f>BM48</f>
        <v>0</v>
      </c>
      <c r="M87" s="1469">
        <f>BN48</f>
        <v>0</v>
      </c>
      <c r="N87" s="1470">
        <f>BO48</f>
        <v>0</v>
      </c>
      <c r="O87" s="960">
        <f t="shared" si="356"/>
        <v>0</v>
      </c>
      <c r="R87" s="3160"/>
      <c r="S87" s="3161"/>
      <c r="T87" s="3161"/>
      <c r="U87" s="3161"/>
      <c r="V87" s="3162"/>
      <c r="W87" s="457"/>
      <c r="Z87" s="1311"/>
      <c r="AA87" s="457"/>
      <c r="AB87" s="457"/>
      <c r="AE87" s="1311"/>
      <c r="AF87" s="457"/>
      <c r="AG87" s="457"/>
      <c r="AJ87" s="1311"/>
      <c r="AK87" s="457"/>
      <c r="AL87" s="457"/>
      <c r="AO87" s="1311"/>
      <c r="AP87" s="457"/>
      <c r="AQ87" s="458"/>
      <c r="AR87" s="458"/>
      <c r="AS87" s="458"/>
      <c r="AT87" s="458"/>
      <c r="AU87" s="458"/>
      <c r="AV87" s="458"/>
      <c r="AW87" s="457"/>
      <c r="AX87" s="450"/>
      <c r="BA87" s="458"/>
      <c r="BB87" s="457"/>
      <c r="BC87" s="450"/>
      <c r="LN87" s="456"/>
      <c r="MC87" s="448"/>
    </row>
    <row r="88" spans="1:341" ht="15" customHeight="1">
      <c r="A88" s="1438"/>
      <c r="B88" s="1438"/>
      <c r="C88" s="3"/>
      <c r="D88" s="1"/>
      <c r="E88" s="110"/>
      <c r="F88" s="1"/>
      <c r="G88" s="82"/>
      <c r="H88" s="86" t="s">
        <v>531</v>
      </c>
      <c r="I88" s="82"/>
      <c r="J88" s="1413">
        <f>SUM(J81:J87)</f>
        <v>0</v>
      </c>
      <c r="K88" s="1413">
        <f>SUM(K81:K87)</f>
        <v>0</v>
      </c>
      <c r="L88" s="1413">
        <f>SUM(L81:L87)</f>
        <v>0</v>
      </c>
      <c r="M88" s="1413">
        <f>SUM(M81:M87)</f>
        <v>0</v>
      </c>
      <c r="N88" s="1413">
        <f>SUM(N81:N87)</f>
        <v>0</v>
      </c>
      <c r="O88" s="1413">
        <f t="shared" si="356"/>
        <v>0</v>
      </c>
      <c r="R88" s="3164"/>
      <c r="S88" s="3165"/>
      <c r="T88" s="3165"/>
      <c r="U88" s="3165"/>
      <c r="V88" s="3166"/>
      <c r="W88" s="1310"/>
      <c r="Z88" s="1311"/>
      <c r="AA88" s="457"/>
      <c r="AB88" s="1310"/>
      <c r="AE88" s="1311"/>
      <c r="AF88" s="457"/>
      <c r="AG88" s="1310"/>
      <c r="AJ88" s="1311"/>
      <c r="AK88" s="457"/>
      <c r="AL88" s="1310"/>
      <c r="AO88" s="1311"/>
      <c r="AP88" s="457"/>
      <c r="AQ88" s="458"/>
      <c r="AR88" s="458"/>
      <c r="AS88" s="458"/>
      <c r="AT88" s="458"/>
      <c r="AU88" s="458"/>
      <c r="AV88" s="458"/>
      <c r="AW88" s="457"/>
      <c r="AX88" s="450"/>
      <c r="BA88" s="458"/>
      <c r="BB88" s="457"/>
      <c r="BC88" s="450"/>
      <c r="LN88" s="456"/>
      <c r="MC88" s="448"/>
    </row>
    <row r="89" spans="1:341" ht="9" customHeight="1" thickBot="1">
      <c r="A89" s="1438"/>
      <c r="B89" s="1438"/>
      <c r="C89" s="1"/>
      <c r="D89" s="1"/>
      <c r="E89" s="1"/>
      <c r="F89" s="1"/>
      <c r="G89" s="82"/>
      <c r="H89" s="35"/>
      <c r="I89" s="82"/>
      <c r="J89" s="597"/>
      <c r="K89" s="597"/>
      <c r="L89" s="597"/>
      <c r="M89" s="597"/>
      <c r="N89" s="597"/>
      <c r="O89" s="597"/>
      <c r="S89" s="151"/>
      <c r="T89" s="407"/>
      <c r="W89" s="1311"/>
      <c r="Z89" s="1311"/>
      <c r="AA89" s="457"/>
      <c r="AB89" s="1311"/>
      <c r="AE89" s="1311"/>
      <c r="AF89" s="457"/>
      <c r="AG89" s="1311"/>
      <c r="AJ89" s="1311"/>
      <c r="AK89" s="457"/>
      <c r="AL89" s="1311"/>
      <c r="AO89" s="1311"/>
      <c r="AP89" s="457"/>
      <c r="AQ89" s="1311"/>
      <c r="AR89" s="1311"/>
      <c r="AS89" s="1311"/>
      <c r="AT89" s="1311"/>
      <c r="AU89" s="1311"/>
      <c r="AV89" s="1311"/>
      <c r="AW89" s="638"/>
      <c r="AX89" s="450"/>
      <c r="BA89" s="1311"/>
      <c r="BB89" s="638"/>
      <c r="BC89" s="450"/>
      <c r="LN89" s="456"/>
      <c r="MC89" s="448"/>
    </row>
    <row r="90" spans="1:341" ht="14.4" customHeight="1" thickBot="1">
      <c r="A90" s="12" t="s">
        <v>729</v>
      </c>
      <c r="B90" s="12" t="s">
        <v>4668</v>
      </c>
      <c r="K90" s="3237" t="str">
        <f>$K$53</f>
        <v>40% of Units at 60% of AMI</v>
      </c>
      <c r="L90" s="3238"/>
      <c r="M90" s="3238"/>
      <c r="N90" s="3239"/>
      <c r="O90" s="82"/>
      <c r="R90" s="3240" t="str">
        <f>B90</f>
        <v>UNIT SUMMARY (Continued)</v>
      </c>
      <c r="S90" s="3240"/>
      <c r="T90" s="3240"/>
      <c r="U90" s="3240"/>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438"/>
      <c r="B92" s="1438"/>
      <c r="C92" s="414" t="s">
        <v>877</v>
      </c>
      <c r="D92" s="414"/>
      <c r="E92" s="414"/>
      <c r="F92" s="1"/>
      <c r="G92" s="82"/>
      <c r="H92" s="35" t="s">
        <v>4287</v>
      </c>
      <c r="I92" s="82"/>
      <c r="J92" s="1462">
        <f>DX48</f>
        <v>0</v>
      </c>
      <c r="K92" s="1463">
        <f>DY48</f>
        <v>0</v>
      </c>
      <c r="L92" s="1463">
        <f>DZ48</f>
        <v>0</v>
      </c>
      <c r="M92" s="1463">
        <f>EA48</f>
        <v>0</v>
      </c>
      <c r="N92" s="1464">
        <f>EB48</f>
        <v>0</v>
      </c>
      <c r="O92" s="961">
        <f t="shared" ref="O92:O99" si="357">SUM(J92:N92)</f>
        <v>0</v>
      </c>
      <c r="R92" s="3155"/>
      <c r="S92" s="3156"/>
      <c r="T92" s="3156"/>
      <c r="U92" s="3156"/>
      <c r="V92" s="3157"/>
      <c r="W92" s="450"/>
      <c r="Z92" s="1311"/>
      <c r="AA92" s="457"/>
      <c r="AB92" s="450"/>
      <c r="AE92" s="1311"/>
      <c r="AF92" s="457"/>
      <c r="AG92" s="450"/>
      <c r="AJ92" s="1311"/>
      <c r="AK92" s="457"/>
      <c r="AL92" s="450"/>
      <c r="AO92" s="1311"/>
      <c r="AP92" s="457"/>
      <c r="AQ92" s="458"/>
      <c r="AR92" s="458"/>
      <c r="AS92" s="458"/>
      <c r="AT92" s="458"/>
      <c r="AU92" s="458"/>
      <c r="AV92" s="458"/>
      <c r="AW92" s="457"/>
      <c r="AX92" s="450"/>
      <c r="BA92" s="458"/>
      <c r="BB92" s="457"/>
      <c r="BC92" s="450"/>
      <c r="LN92" s="456"/>
      <c r="MC92" s="448"/>
    </row>
    <row r="93" spans="1:341" ht="15" customHeight="1">
      <c r="A93" s="1438"/>
      <c r="B93" s="1438"/>
      <c r="C93" s="35" t="s">
        <v>2479</v>
      </c>
      <c r="D93" s="414"/>
      <c r="E93" s="414"/>
      <c r="F93" s="1"/>
      <c r="G93" s="82"/>
      <c r="H93" s="35" t="s">
        <v>4288</v>
      </c>
      <c r="I93" s="82"/>
      <c r="J93" s="1465">
        <f>DS48</f>
        <v>0</v>
      </c>
      <c r="K93" s="1466">
        <f>DT48</f>
        <v>0</v>
      </c>
      <c r="L93" s="1466">
        <f>DU48</f>
        <v>0</v>
      </c>
      <c r="M93" s="1466">
        <f>DV48</f>
        <v>0</v>
      </c>
      <c r="N93" s="1467">
        <f>DW48</f>
        <v>0</v>
      </c>
      <c r="O93" s="956">
        <f t="shared" si="357"/>
        <v>0</v>
      </c>
      <c r="R93" s="3160"/>
      <c r="S93" s="3161"/>
      <c r="T93" s="3161"/>
      <c r="U93" s="3161"/>
      <c r="V93" s="3162"/>
      <c r="W93" s="450"/>
      <c r="Z93" s="1311"/>
      <c r="AA93" s="457"/>
      <c r="AB93" s="450"/>
      <c r="AE93" s="1311"/>
      <c r="AF93" s="457"/>
      <c r="AG93" s="450"/>
      <c r="AJ93" s="1311"/>
      <c r="AK93" s="457"/>
      <c r="AL93" s="450"/>
      <c r="AO93" s="1311"/>
      <c r="AP93" s="457"/>
      <c r="AQ93" s="458"/>
      <c r="AR93" s="458"/>
      <c r="AS93" s="458"/>
      <c r="AT93" s="458"/>
      <c r="AU93" s="458"/>
      <c r="AV93" s="458"/>
      <c r="AW93" s="457"/>
      <c r="AX93" s="450"/>
      <c r="BA93" s="458"/>
      <c r="BB93" s="457"/>
      <c r="BC93" s="450"/>
      <c r="LN93" s="456"/>
      <c r="MC93" s="448"/>
    </row>
    <row r="94" spans="1:341" ht="15" customHeight="1">
      <c r="A94" s="1438"/>
      <c r="B94" s="1438"/>
      <c r="C94" s="414"/>
      <c r="D94" s="414"/>
      <c r="E94" s="414"/>
      <c r="F94" s="1"/>
      <c r="G94" s="82"/>
      <c r="H94" s="35" t="s">
        <v>1136</v>
      </c>
      <c r="I94" s="82"/>
      <c r="J94" s="1465">
        <f>DN48</f>
        <v>0</v>
      </c>
      <c r="K94" s="1466">
        <f>DO48</f>
        <v>0</v>
      </c>
      <c r="L94" s="1466">
        <f>DP48</f>
        <v>0</v>
      </c>
      <c r="M94" s="1466">
        <f>DQ48</f>
        <v>0</v>
      </c>
      <c r="N94" s="1467">
        <f>DR48</f>
        <v>0</v>
      </c>
      <c r="O94" s="956">
        <f t="shared" si="357"/>
        <v>0</v>
      </c>
      <c r="R94" s="3160"/>
      <c r="S94" s="3161"/>
      <c r="T94" s="3161"/>
      <c r="U94" s="3161"/>
      <c r="V94" s="3162"/>
      <c r="W94" s="450"/>
      <c r="Z94" s="1311"/>
      <c r="AA94" s="457"/>
      <c r="AB94" s="450"/>
      <c r="AE94" s="1311"/>
      <c r="AF94" s="457"/>
      <c r="AG94" s="450"/>
      <c r="AJ94" s="1311"/>
      <c r="AK94" s="457"/>
      <c r="AL94" s="450"/>
      <c r="AO94" s="1311"/>
      <c r="AP94" s="457"/>
      <c r="AQ94" s="458"/>
      <c r="AR94" s="458"/>
      <c r="AS94" s="458"/>
      <c r="AT94" s="458"/>
      <c r="AU94" s="458"/>
      <c r="AV94" s="458"/>
      <c r="AW94" s="457"/>
      <c r="AX94" s="450"/>
      <c r="BA94" s="458"/>
      <c r="BB94" s="457"/>
      <c r="BC94" s="450"/>
      <c r="LN94" s="456"/>
      <c r="MC94" s="448"/>
    </row>
    <row r="95" spans="1:341" ht="15" customHeight="1">
      <c r="A95" s="1438"/>
      <c r="B95" s="1438"/>
      <c r="C95" s="414"/>
      <c r="D95" s="414"/>
      <c r="E95" s="414"/>
      <c r="F95" s="1"/>
      <c r="G95" s="82"/>
      <c r="H95" s="51" t="s">
        <v>116</v>
      </c>
      <c r="I95" s="1154"/>
      <c r="J95" s="1486">
        <f>DI48</f>
        <v>0</v>
      </c>
      <c r="K95" s="1487">
        <f>DJ48</f>
        <v>0</v>
      </c>
      <c r="L95" s="1487">
        <f>DK48</f>
        <v>0</v>
      </c>
      <c r="M95" s="1487">
        <f>DL48</f>
        <v>0</v>
      </c>
      <c r="N95" s="1488">
        <f>DM48</f>
        <v>0</v>
      </c>
      <c r="O95" s="598">
        <f t="shared" si="357"/>
        <v>0</v>
      </c>
      <c r="R95" s="3160"/>
      <c r="S95" s="3161"/>
      <c r="T95" s="3161"/>
      <c r="U95" s="3161"/>
      <c r="V95" s="3162"/>
      <c r="W95" s="450"/>
      <c r="Z95" s="1311"/>
      <c r="AA95" s="457"/>
      <c r="AB95" s="450"/>
      <c r="AE95" s="1311"/>
      <c r="AF95" s="457"/>
      <c r="AG95" s="450"/>
      <c r="AJ95" s="1311"/>
      <c r="AK95" s="457"/>
      <c r="AL95" s="450"/>
      <c r="AO95" s="1311"/>
      <c r="AP95" s="457"/>
      <c r="AQ95" s="458"/>
      <c r="AR95" s="458"/>
      <c r="AS95" s="458"/>
      <c r="AT95" s="458"/>
      <c r="AU95" s="458"/>
      <c r="AV95" s="458"/>
      <c r="AW95" s="457"/>
      <c r="AX95" s="450"/>
      <c r="BA95" s="458"/>
      <c r="BB95" s="457"/>
      <c r="BC95" s="450"/>
      <c r="LN95" s="456"/>
      <c r="MC95" s="448"/>
    </row>
    <row r="96" spans="1:341" ht="15" customHeight="1">
      <c r="A96" s="1438"/>
      <c r="B96" s="1438"/>
      <c r="C96" s="414"/>
      <c r="D96" s="414"/>
      <c r="E96" s="414"/>
      <c r="F96" s="1"/>
      <c r="G96" s="82"/>
      <c r="H96" s="51" t="s">
        <v>4289</v>
      </c>
      <c r="I96" s="1154"/>
      <c r="J96" s="1465">
        <f>DD48</f>
        <v>0</v>
      </c>
      <c r="K96" s="1466">
        <f>DE48</f>
        <v>0</v>
      </c>
      <c r="L96" s="1466">
        <f>DF48</f>
        <v>0</v>
      </c>
      <c r="M96" s="1466">
        <f>DG48</f>
        <v>0</v>
      </c>
      <c r="N96" s="1467">
        <f>DH48</f>
        <v>0</v>
      </c>
      <c r="O96" s="956">
        <f t="shared" si="357"/>
        <v>0</v>
      </c>
      <c r="R96" s="3160"/>
      <c r="S96" s="3161"/>
      <c r="T96" s="3161"/>
      <c r="U96" s="3161"/>
      <c r="V96" s="3162"/>
      <c r="W96" s="450"/>
      <c r="Z96" s="1311"/>
      <c r="AA96" s="457"/>
      <c r="AB96" s="450"/>
      <c r="AE96" s="1311"/>
      <c r="AF96" s="457"/>
      <c r="AG96" s="450"/>
      <c r="AJ96" s="1311"/>
      <c r="AK96" s="457"/>
      <c r="AL96" s="450"/>
      <c r="AO96" s="1311"/>
      <c r="AP96" s="457"/>
      <c r="AQ96" s="458"/>
      <c r="AR96" s="458"/>
      <c r="AS96" s="458"/>
      <c r="AT96" s="458"/>
      <c r="AU96" s="458"/>
      <c r="AV96" s="458"/>
      <c r="AW96" s="457"/>
      <c r="AX96" s="450"/>
      <c r="BA96" s="458"/>
      <c r="BB96" s="457"/>
      <c r="BC96" s="450"/>
      <c r="LN96" s="456"/>
      <c r="MC96" s="448"/>
    </row>
    <row r="97" spans="1:341" ht="15" customHeight="1">
      <c r="A97" s="1438"/>
      <c r="B97" s="1438"/>
      <c r="C97" s="414"/>
      <c r="D97" s="414"/>
      <c r="E97" s="414"/>
      <c r="F97" s="1"/>
      <c r="G97" s="82"/>
      <c r="H97" s="35" t="s">
        <v>4290</v>
      </c>
      <c r="I97" s="82"/>
      <c r="J97" s="1465">
        <f>CY48</f>
        <v>0</v>
      </c>
      <c r="K97" s="1466">
        <f>CZ48</f>
        <v>0</v>
      </c>
      <c r="L97" s="1466">
        <f>DA48</f>
        <v>0</v>
      </c>
      <c r="M97" s="1466">
        <f>DB48</f>
        <v>0</v>
      </c>
      <c r="N97" s="1467">
        <f>DC48</f>
        <v>0</v>
      </c>
      <c r="O97" s="956">
        <f t="shared" si="357"/>
        <v>0</v>
      </c>
      <c r="R97" s="3160"/>
      <c r="S97" s="3161"/>
      <c r="T97" s="3161"/>
      <c r="U97" s="3161"/>
      <c r="V97" s="3162"/>
      <c r="W97" s="450"/>
      <c r="Z97" s="1311"/>
      <c r="AA97" s="457"/>
      <c r="AB97" s="450"/>
      <c r="AE97" s="1311"/>
      <c r="AF97" s="457"/>
      <c r="AG97" s="450"/>
      <c r="AJ97" s="1311"/>
      <c r="AK97" s="457"/>
      <c r="AL97" s="450"/>
      <c r="AO97" s="1311"/>
      <c r="AP97" s="457"/>
      <c r="AQ97" s="458"/>
      <c r="AR97" s="458"/>
      <c r="AS97" s="458"/>
      <c r="AT97" s="458"/>
      <c r="AU97" s="458"/>
      <c r="AV97" s="458"/>
      <c r="AW97" s="457"/>
      <c r="AX97" s="450"/>
      <c r="BA97" s="458"/>
      <c r="BB97" s="457"/>
      <c r="BC97" s="450"/>
      <c r="LN97" s="456"/>
      <c r="MC97" s="448"/>
    </row>
    <row r="98" spans="1:341" ht="15" customHeight="1">
      <c r="A98" s="1438"/>
      <c r="B98" s="1438"/>
      <c r="C98" s="414"/>
      <c r="D98" s="414"/>
      <c r="E98" s="414"/>
      <c r="F98" s="1"/>
      <c r="G98" s="82"/>
      <c r="H98" s="35" t="s">
        <v>4291</v>
      </c>
      <c r="I98" s="82"/>
      <c r="J98" s="1468">
        <f>CT48</f>
        <v>0</v>
      </c>
      <c r="K98" s="1469">
        <f>CU48</f>
        <v>0</v>
      </c>
      <c r="L98" s="1469">
        <f>CV48</f>
        <v>0</v>
      </c>
      <c r="M98" s="1469">
        <f>CW48</f>
        <v>0</v>
      </c>
      <c r="N98" s="1470">
        <f>CX48</f>
        <v>0</v>
      </c>
      <c r="O98" s="957">
        <f t="shared" si="357"/>
        <v>0</v>
      </c>
      <c r="R98" s="3160"/>
      <c r="S98" s="3161"/>
      <c r="T98" s="3161"/>
      <c r="U98" s="3161"/>
      <c r="V98" s="3162"/>
      <c r="W98" s="1710"/>
      <c r="Z98" s="1311"/>
      <c r="AA98" s="457"/>
      <c r="AB98" s="1710"/>
      <c r="AE98" s="1311"/>
      <c r="AF98" s="457"/>
      <c r="AG98" s="1710"/>
      <c r="AJ98" s="1311"/>
      <c r="AK98" s="457"/>
      <c r="AL98" s="1710"/>
      <c r="AO98" s="1311"/>
      <c r="AP98" s="457"/>
      <c r="AQ98" s="458"/>
      <c r="AR98" s="458"/>
      <c r="AS98" s="458"/>
      <c r="AT98" s="458"/>
      <c r="AU98" s="458"/>
      <c r="AV98" s="458"/>
      <c r="AW98" s="457"/>
      <c r="AX98" s="450"/>
      <c r="BA98" s="458"/>
      <c r="BB98" s="457"/>
      <c r="BC98" s="450"/>
      <c r="LN98" s="456"/>
      <c r="MC98" s="448"/>
    </row>
    <row r="99" spans="1:341" ht="15" customHeight="1">
      <c r="A99" s="1438"/>
      <c r="B99" s="1438"/>
      <c r="C99" s="82"/>
      <c r="D99" s="1"/>
      <c r="E99" s="110"/>
      <c r="F99" s="1"/>
      <c r="G99" s="82"/>
      <c r="H99" s="86" t="s">
        <v>531</v>
      </c>
      <c r="I99" s="82"/>
      <c r="J99" s="1413">
        <f>SUM(J92:J98)</f>
        <v>0</v>
      </c>
      <c r="K99" s="1413">
        <f>SUM(K92:K98)</f>
        <v>0</v>
      </c>
      <c r="L99" s="1413">
        <f>SUM(L92:L98)</f>
        <v>0</v>
      </c>
      <c r="M99" s="1413">
        <f>SUM(M92:M98)</f>
        <v>0</v>
      </c>
      <c r="N99" s="1413">
        <f>SUM(N92:N98)</f>
        <v>0</v>
      </c>
      <c r="O99" s="1413">
        <f t="shared" si="357"/>
        <v>0</v>
      </c>
      <c r="R99" s="3164"/>
      <c r="S99" s="3165"/>
      <c r="T99" s="3165"/>
      <c r="U99" s="3165"/>
      <c r="V99" s="3166"/>
      <c r="W99" s="1310"/>
      <c r="Z99" s="1311"/>
      <c r="AA99" s="457"/>
      <c r="AB99" s="1310"/>
      <c r="AE99" s="1311"/>
      <c r="AF99" s="457"/>
      <c r="AG99" s="1310"/>
      <c r="AJ99" s="1311"/>
      <c r="AK99" s="457"/>
      <c r="AL99" s="1310"/>
      <c r="AO99" s="1311"/>
      <c r="AP99" s="457"/>
      <c r="AQ99" s="458"/>
      <c r="AR99" s="458"/>
      <c r="AS99" s="458"/>
      <c r="AT99" s="458"/>
      <c r="AU99" s="458"/>
      <c r="AV99" s="458"/>
      <c r="AW99" s="457"/>
      <c r="AX99" s="450"/>
      <c r="BA99" s="458"/>
      <c r="BB99" s="457"/>
      <c r="BC99" s="450"/>
      <c r="LN99" s="456"/>
      <c r="MC99" s="448"/>
    </row>
    <row r="100" spans="1:341" ht="9" customHeight="1">
      <c r="A100" s="1438"/>
      <c r="B100" s="1438"/>
      <c r="D100" s="603"/>
      <c r="E100" s="110"/>
      <c r="F100" s="1"/>
      <c r="G100" s="82"/>
      <c r="H100" s="35"/>
      <c r="I100" s="82"/>
      <c r="J100" s="597"/>
      <c r="K100" s="597"/>
      <c r="L100" s="597"/>
      <c r="M100" s="597"/>
      <c r="N100" s="597"/>
      <c r="O100" s="597"/>
      <c r="R100" s="312"/>
      <c r="S100" s="151"/>
      <c r="T100" s="407"/>
      <c r="W100" s="1311"/>
      <c r="Z100" s="1311"/>
      <c r="AA100" s="457"/>
      <c r="AB100" s="1311"/>
      <c r="AE100" s="1311"/>
      <c r="AF100" s="457"/>
      <c r="AG100" s="1311"/>
      <c r="AJ100" s="1311"/>
      <c r="AK100" s="457"/>
      <c r="AL100" s="1311"/>
      <c r="AO100" s="1311"/>
      <c r="AP100" s="457"/>
      <c r="AQ100" s="1311"/>
      <c r="AR100" s="1311"/>
      <c r="AS100" s="1311"/>
      <c r="AT100" s="1311"/>
      <c r="AU100" s="1311"/>
      <c r="AV100" s="1311"/>
      <c r="AW100" s="638"/>
      <c r="AX100" s="450"/>
      <c r="BA100" s="1311"/>
      <c r="BB100" s="638"/>
      <c r="BC100" s="450"/>
      <c r="LN100" s="456"/>
      <c r="MC100" s="448"/>
    </row>
    <row r="101" spans="1:341" ht="14.25" customHeight="1">
      <c r="A101" s="1438"/>
      <c r="B101" s="1438"/>
      <c r="C101" s="3215" t="s">
        <v>36</v>
      </c>
      <c r="D101" s="3215"/>
      <c r="E101" s="103" t="s">
        <v>2266</v>
      </c>
      <c r="F101" s="1"/>
      <c r="G101" s="82"/>
      <c r="H101" s="35" t="s">
        <v>1416</v>
      </c>
      <c r="I101" s="82"/>
      <c r="J101" s="1444">
        <f>GF48</f>
        <v>0</v>
      </c>
      <c r="K101" s="1445">
        <f>GG48</f>
        <v>28</v>
      </c>
      <c r="L101" s="1445">
        <f>GH48</f>
        <v>35</v>
      </c>
      <c r="M101" s="1445">
        <f>GI48</f>
        <v>8</v>
      </c>
      <c r="N101" s="1446">
        <f>GJ48</f>
        <v>0</v>
      </c>
      <c r="O101" s="961">
        <f t="shared" ref="O101:O111" si="358">SUM(J101:N101)</f>
        <v>71</v>
      </c>
      <c r="R101" s="3155"/>
      <c r="S101" s="3156"/>
      <c r="T101" s="3156"/>
      <c r="U101" s="3156"/>
      <c r="V101" s="3157"/>
      <c r="W101" s="1311"/>
      <c r="Z101" s="1311"/>
      <c r="AA101" s="457"/>
      <c r="AB101" s="1311"/>
      <c r="AE101" s="1311"/>
      <c r="AF101" s="457"/>
      <c r="AG101" s="1311"/>
      <c r="AJ101" s="1311"/>
      <c r="AK101" s="457"/>
      <c r="AL101" s="1311"/>
      <c r="AO101" s="1311"/>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438"/>
      <c r="B102" s="1438"/>
      <c r="C102" s="3215"/>
      <c r="D102" s="3215"/>
      <c r="E102" s="110"/>
      <c r="F102" s="1"/>
      <c r="G102" s="82"/>
      <c r="H102" s="35" t="s">
        <v>300</v>
      </c>
      <c r="I102" s="82"/>
      <c r="J102" s="1450">
        <f>GK48</f>
        <v>0</v>
      </c>
      <c r="K102" s="1451">
        <f>GL48</f>
        <v>4</v>
      </c>
      <c r="L102" s="1451">
        <f>GM48</f>
        <v>7</v>
      </c>
      <c r="M102" s="1451">
        <f>GN48</f>
        <v>2</v>
      </c>
      <c r="N102" s="1452">
        <f>GO48</f>
        <v>0</v>
      </c>
      <c r="O102" s="957">
        <f t="shared" si="358"/>
        <v>13</v>
      </c>
      <c r="R102" s="3160"/>
      <c r="S102" s="3161"/>
      <c r="T102" s="3161"/>
      <c r="U102" s="3161"/>
      <c r="V102" s="3162"/>
      <c r="W102" s="1311"/>
      <c r="Z102" s="1311"/>
      <c r="AA102" s="457"/>
      <c r="AB102" s="1311"/>
      <c r="AE102" s="1311"/>
      <c r="AF102" s="457"/>
      <c r="AG102" s="1311"/>
      <c r="AJ102" s="1311"/>
      <c r="AK102" s="457"/>
      <c r="AL102" s="1311"/>
      <c r="AO102" s="1311"/>
      <c r="AP102" s="457"/>
      <c r="AQ102" s="458"/>
      <c r="AR102" s="458"/>
      <c r="AS102" s="458"/>
      <c r="AT102" s="458"/>
      <c r="AU102" s="458"/>
      <c r="AV102" s="458"/>
      <c r="AW102" s="1051"/>
      <c r="AX102" s="450"/>
      <c r="BA102" s="458"/>
      <c r="BB102" s="1051"/>
      <c r="BC102" s="450"/>
      <c r="LN102" s="456"/>
      <c r="MC102" s="448"/>
    </row>
    <row r="103" spans="1:341" ht="14.25" customHeight="1">
      <c r="A103" s="1438"/>
      <c r="B103" s="1438"/>
      <c r="C103" s="3215"/>
      <c r="D103" s="3215"/>
      <c r="E103" s="110"/>
      <c r="F103" s="1"/>
      <c r="G103" s="82"/>
      <c r="H103" s="86" t="s">
        <v>30</v>
      </c>
      <c r="I103" s="82"/>
      <c r="J103" s="1415">
        <f>SUM(J101:J102)+GP48</f>
        <v>0</v>
      </c>
      <c r="K103" s="1415">
        <f>SUM(K101:K102)+GQ48</f>
        <v>32</v>
      </c>
      <c r="L103" s="1415">
        <f>SUM(L101:L102)+GR48</f>
        <v>42</v>
      </c>
      <c r="M103" s="1415">
        <f>SUM(M101:M102)+GS48</f>
        <v>10</v>
      </c>
      <c r="N103" s="1415">
        <f>SUM(N101:N102)+GT48</f>
        <v>0</v>
      </c>
      <c r="O103" s="1415">
        <f t="shared" si="358"/>
        <v>84</v>
      </c>
      <c r="R103" s="3160"/>
      <c r="S103" s="3161"/>
      <c r="T103" s="3161"/>
      <c r="U103" s="3161"/>
      <c r="V103" s="3162"/>
      <c r="W103" s="1310"/>
      <c r="Z103" s="1311"/>
      <c r="AA103" s="1710"/>
      <c r="AB103" s="1310"/>
      <c r="AE103" s="1311"/>
      <c r="AF103" s="1710"/>
      <c r="AG103" s="1310"/>
      <c r="AJ103" s="1311"/>
      <c r="AK103" s="1710"/>
      <c r="AL103" s="1310"/>
      <c r="AO103" s="1311"/>
      <c r="AP103" s="1710"/>
      <c r="AQ103" s="458"/>
      <c r="AR103" s="458"/>
      <c r="AS103" s="458"/>
      <c r="AT103" s="458"/>
      <c r="AU103" s="458"/>
      <c r="AV103" s="458"/>
      <c r="AW103" s="457"/>
      <c r="AX103" s="450"/>
      <c r="BA103" s="458"/>
      <c r="BB103" s="457"/>
      <c r="BC103" s="450"/>
      <c r="LN103" s="456"/>
      <c r="MC103" s="448"/>
    </row>
    <row r="104" spans="1:341" ht="14.25" customHeight="1">
      <c r="A104" s="1438"/>
      <c r="B104" s="1438"/>
      <c r="C104" s="3215"/>
      <c r="D104" s="3215"/>
      <c r="E104" s="103" t="s">
        <v>2110</v>
      </c>
      <c r="F104" s="1"/>
      <c r="G104" s="82"/>
      <c r="H104" s="35" t="s">
        <v>1416</v>
      </c>
      <c r="I104" s="82"/>
      <c r="J104" s="1444">
        <f>GU48</f>
        <v>0</v>
      </c>
      <c r="K104" s="1445">
        <f>GV48</f>
        <v>0</v>
      </c>
      <c r="L104" s="1445">
        <f>GW48</f>
        <v>0</v>
      </c>
      <c r="M104" s="1445">
        <f>GX48</f>
        <v>0</v>
      </c>
      <c r="N104" s="1446">
        <f>GY48</f>
        <v>0</v>
      </c>
      <c r="O104" s="961">
        <f t="shared" si="358"/>
        <v>0</v>
      </c>
      <c r="R104" s="3160"/>
      <c r="S104" s="3161"/>
      <c r="T104" s="3161"/>
      <c r="U104" s="3161"/>
      <c r="V104" s="3162"/>
      <c r="W104" s="1311"/>
      <c r="Z104" s="1311"/>
      <c r="AA104" s="457"/>
      <c r="AB104" s="1311"/>
      <c r="AE104" s="1311"/>
      <c r="AF104" s="457"/>
      <c r="AG104" s="1311"/>
      <c r="AJ104" s="1311"/>
      <c r="AK104" s="457"/>
      <c r="AL104" s="1311"/>
      <c r="AO104" s="1311"/>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438"/>
      <c r="B105" s="1438"/>
      <c r="C105" s="3215"/>
      <c r="D105" s="3215"/>
      <c r="E105" s="110"/>
      <c r="F105" s="1"/>
      <c r="G105" s="82"/>
      <c r="H105" s="35" t="s">
        <v>300</v>
      </c>
      <c r="I105" s="82"/>
      <c r="J105" s="1450">
        <f>GZ48</f>
        <v>0</v>
      </c>
      <c r="K105" s="1451">
        <f>HA48</f>
        <v>0</v>
      </c>
      <c r="L105" s="1451">
        <f>HB48</f>
        <v>0</v>
      </c>
      <c r="M105" s="1451">
        <f>HC48</f>
        <v>0</v>
      </c>
      <c r="N105" s="1452">
        <f>HD48</f>
        <v>0</v>
      </c>
      <c r="O105" s="957">
        <f t="shared" si="358"/>
        <v>0</v>
      </c>
      <c r="R105" s="3160"/>
      <c r="S105" s="3161"/>
      <c r="T105" s="3161"/>
      <c r="U105" s="3161"/>
      <c r="V105" s="3162"/>
      <c r="W105" s="1311"/>
      <c r="Z105" s="1311"/>
      <c r="AA105" s="457"/>
      <c r="AB105" s="1311"/>
      <c r="AE105" s="1311"/>
      <c r="AF105" s="457"/>
      <c r="AG105" s="1311"/>
      <c r="AJ105" s="1311"/>
      <c r="AK105" s="457"/>
      <c r="AL105" s="1311"/>
      <c r="AO105" s="1311"/>
      <c r="AP105" s="457"/>
      <c r="AQ105" s="458"/>
      <c r="AR105" s="458"/>
      <c r="AS105" s="458"/>
      <c r="AT105" s="458"/>
      <c r="AU105" s="458"/>
      <c r="AV105" s="458"/>
      <c r="AW105" s="1051"/>
      <c r="AX105" s="450"/>
      <c r="BA105" s="458"/>
      <c r="BB105" s="1051"/>
      <c r="BC105" s="450"/>
      <c r="LN105" s="456"/>
      <c r="MC105" s="448"/>
    </row>
    <row r="106" spans="1:341" ht="14.25" customHeight="1">
      <c r="A106" s="1438"/>
      <c r="B106" s="1438"/>
      <c r="C106" s="3215"/>
      <c r="D106" s="3215"/>
      <c r="E106" s="110"/>
      <c r="F106" s="1"/>
      <c r="G106" s="82"/>
      <c r="H106" s="86" t="s">
        <v>30</v>
      </c>
      <c r="I106" s="82"/>
      <c r="J106" s="1415">
        <f>SUM(J104:J105)+HE48</f>
        <v>0</v>
      </c>
      <c r="K106" s="1415">
        <f>SUM(K104:K105)+HF48</f>
        <v>0</v>
      </c>
      <c r="L106" s="1415">
        <f>SUM(L104:L105)+HG48</f>
        <v>0</v>
      </c>
      <c r="M106" s="1415">
        <f>SUM(M104:M105)+HH48</f>
        <v>0</v>
      </c>
      <c r="N106" s="1415">
        <f>SUM(N104:N105)+HI48</f>
        <v>0</v>
      </c>
      <c r="O106" s="1415">
        <f t="shared" si="358"/>
        <v>0</v>
      </c>
      <c r="R106" s="3160"/>
      <c r="S106" s="3161"/>
      <c r="T106" s="3161"/>
      <c r="U106" s="3161"/>
      <c r="V106" s="3162"/>
      <c r="W106" s="1310"/>
      <c r="Z106" s="1311"/>
      <c r="AA106" s="1710"/>
      <c r="AB106" s="1310"/>
      <c r="AE106" s="1311"/>
      <c r="AF106" s="1710"/>
      <c r="AG106" s="1310"/>
      <c r="AJ106" s="1311"/>
      <c r="AK106" s="1710"/>
      <c r="AL106" s="1310"/>
      <c r="AO106" s="1311"/>
      <c r="AP106" s="1710"/>
      <c r="AQ106" s="458"/>
      <c r="AR106" s="458"/>
      <c r="AS106" s="458"/>
      <c r="AT106" s="458"/>
      <c r="AU106" s="458"/>
      <c r="AV106" s="458"/>
      <c r="AW106" s="457"/>
      <c r="AX106" s="450"/>
      <c r="BA106" s="458"/>
      <c r="BB106" s="457"/>
      <c r="BC106" s="450"/>
      <c r="LN106" s="456"/>
      <c r="MC106" s="448"/>
    </row>
    <row r="107" spans="1:341" ht="14.25" customHeight="1">
      <c r="A107" s="1438"/>
      <c r="B107" s="1438"/>
      <c r="C107" s="911"/>
      <c r="D107" s="1"/>
      <c r="E107" s="3216" t="s">
        <v>1403</v>
      </c>
      <c r="F107" s="3216"/>
      <c r="G107" s="82"/>
      <c r="H107" s="35" t="s">
        <v>1416</v>
      </c>
      <c r="I107" s="82"/>
      <c r="J107" s="1444">
        <f>HJ48</f>
        <v>0</v>
      </c>
      <c r="K107" s="1445">
        <f>HK48</f>
        <v>0</v>
      </c>
      <c r="L107" s="1445">
        <f>HL48</f>
        <v>0</v>
      </c>
      <c r="M107" s="1445">
        <f>HM48</f>
        <v>0</v>
      </c>
      <c r="N107" s="1446">
        <f>HN48</f>
        <v>0</v>
      </c>
      <c r="O107" s="961">
        <f t="shared" si="358"/>
        <v>0</v>
      </c>
      <c r="R107" s="3160"/>
      <c r="S107" s="3161"/>
      <c r="T107" s="3161"/>
      <c r="U107" s="3161"/>
      <c r="V107" s="3162"/>
      <c r="W107" s="1311"/>
      <c r="Z107" s="1311"/>
      <c r="AA107" s="457"/>
      <c r="AB107" s="1311"/>
      <c r="AE107" s="1311"/>
      <c r="AF107" s="457"/>
      <c r="AG107" s="1311"/>
      <c r="AJ107" s="1311"/>
      <c r="AK107" s="457"/>
      <c r="AL107" s="1311"/>
      <c r="AO107" s="1311"/>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438"/>
      <c r="B108" s="1438"/>
      <c r="C108" s="911"/>
      <c r="D108" s="1"/>
      <c r="E108" s="3216"/>
      <c r="F108" s="3216"/>
      <c r="G108" s="82"/>
      <c r="H108" s="35" t="s">
        <v>300</v>
      </c>
      <c r="I108" s="82"/>
      <c r="J108" s="1450">
        <f>HO48</f>
        <v>0</v>
      </c>
      <c r="K108" s="1451">
        <f>HP48</f>
        <v>0</v>
      </c>
      <c r="L108" s="1451">
        <f>HQ48</f>
        <v>0</v>
      </c>
      <c r="M108" s="1451">
        <f>HR48</f>
        <v>0</v>
      </c>
      <c r="N108" s="1452">
        <f>HS48</f>
        <v>0</v>
      </c>
      <c r="O108" s="957">
        <f t="shared" si="358"/>
        <v>0</v>
      </c>
      <c r="R108" s="3160"/>
      <c r="S108" s="3161"/>
      <c r="T108" s="3161"/>
      <c r="U108" s="3161"/>
      <c r="V108" s="3162"/>
      <c r="W108" s="1311"/>
      <c r="Z108" s="1311"/>
      <c r="AA108" s="457"/>
      <c r="AB108" s="1311"/>
      <c r="AE108" s="1311"/>
      <c r="AF108" s="457"/>
      <c r="AG108" s="1311"/>
      <c r="AJ108" s="1311"/>
      <c r="AK108" s="457"/>
      <c r="AL108" s="1311"/>
      <c r="AO108" s="1311"/>
      <c r="AP108" s="457"/>
      <c r="AQ108" s="458"/>
      <c r="AR108" s="458"/>
      <c r="AS108" s="458"/>
      <c r="AT108" s="458"/>
      <c r="AU108" s="458"/>
      <c r="AV108" s="458"/>
      <c r="AW108" s="1051"/>
      <c r="AX108" s="450"/>
      <c r="BA108" s="458"/>
      <c r="BB108" s="1051"/>
      <c r="BC108" s="450"/>
      <c r="LN108" s="456"/>
      <c r="MC108" s="448"/>
    </row>
    <row r="109" spans="1:341" ht="14.25" customHeight="1">
      <c r="A109" s="1438"/>
      <c r="B109" s="1438"/>
      <c r="C109" s="911"/>
      <c r="D109" s="1"/>
      <c r="E109" s="110"/>
      <c r="F109" s="1"/>
      <c r="G109" s="82"/>
      <c r="H109" s="86" t="s">
        <v>30</v>
      </c>
      <c r="I109" s="82"/>
      <c r="J109" s="1415">
        <f>SUM(J107:J108)+HT48</f>
        <v>0</v>
      </c>
      <c r="K109" s="1415">
        <f>SUM(K107:K108)+HU48</f>
        <v>0</v>
      </c>
      <c r="L109" s="1415">
        <f>SUM(L107:L108)+HV48</f>
        <v>0</v>
      </c>
      <c r="M109" s="1415">
        <f>SUM(M107:M108)+HW48</f>
        <v>0</v>
      </c>
      <c r="N109" s="1415">
        <f>SUM(N107:N108)+HX48</f>
        <v>0</v>
      </c>
      <c r="O109" s="1415">
        <f t="shared" si="358"/>
        <v>0</v>
      </c>
      <c r="R109" s="3160"/>
      <c r="S109" s="3161"/>
      <c r="T109" s="3161"/>
      <c r="U109" s="3161"/>
      <c r="V109" s="3162"/>
      <c r="W109" s="1310"/>
      <c r="Z109" s="1311"/>
      <c r="AA109" s="1710"/>
      <c r="AB109" s="1310"/>
      <c r="AE109" s="1311"/>
      <c r="AF109" s="1710"/>
      <c r="AG109" s="1310"/>
      <c r="AJ109" s="1311"/>
      <c r="AK109" s="1710"/>
      <c r="AL109" s="1310"/>
      <c r="AO109" s="1311"/>
      <c r="AP109" s="1710"/>
      <c r="AQ109" s="458"/>
      <c r="AR109" s="458"/>
      <c r="AS109" s="458"/>
      <c r="AT109" s="458"/>
      <c r="AU109" s="458"/>
      <c r="AV109" s="458"/>
      <c r="AW109" s="457"/>
      <c r="AX109" s="450"/>
      <c r="BA109" s="458"/>
      <c r="BB109" s="457"/>
      <c r="BC109" s="450"/>
      <c r="LN109" s="456"/>
      <c r="MC109" s="448"/>
    </row>
    <row r="110" spans="1:341" ht="14.25" customHeight="1">
      <c r="A110" s="1438"/>
      <c r="B110" s="1438"/>
      <c r="C110" s="911"/>
      <c r="D110" s="1"/>
      <c r="E110" s="110" t="s">
        <v>362</v>
      </c>
      <c r="F110" s="1"/>
      <c r="G110" s="172"/>
      <c r="H110" s="82"/>
      <c r="I110" s="82"/>
      <c r="J110" s="2416"/>
      <c r="K110" s="2416"/>
      <c r="L110" s="2416"/>
      <c r="M110" s="2416"/>
      <c r="N110" s="2416"/>
      <c r="O110" s="595">
        <f t="shared" si="358"/>
        <v>0</v>
      </c>
      <c r="R110" s="3160"/>
      <c r="S110" s="3161"/>
      <c r="T110" s="3161"/>
      <c r="U110" s="3161"/>
      <c r="V110" s="3162"/>
      <c r="W110" s="1311"/>
      <c r="Z110" s="1311"/>
      <c r="AA110" s="457"/>
      <c r="AB110" s="1311"/>
      <c r="AE110" s="1311"/>
      <c r="AF110" s="457"/>
      <c r="AG110" s="1311"/>
      <c r="AJ110" s="1311"/>
      <c r="AK110" s="457"/>
      <c r="AL110" s="1311"/>
      <c r="AO110" s="1311"/>
      <c r="AP110" s="457"/>
      <c r="AQ110" s="458"/>
      <c r="AR110" s="458"/>
      <c r="AS110" s="458"/>
      <c r="AT110" s="458"/>
      <c r="AU110" s="458"/>
      <c r="AV110" s="458"/>
      <c r="AW110" s="1051"/>
      <c r="AX110" s="450"/>
      <c r="BA110" s="458"/>
      <c r="BB110" s="1051"/>
      <c r="BC110" s="450"/>
      <c r="LN110" s="456"/>
      <c r="MC110" s="448"/>
    </row>
    <row r="111" spans="1:341" ht="14.25" customHeight="1">
      <c r="A111" s="3163" t="str">
        <f>IF(AND('Part IV-A-Uses of Funds'!$T$165="Yes",'Part IX Scoring Criteria'!$O$420&gt;0,O111&lt;1),"SHOW HISTORIC UNITS HERE &gt;&gt;&gt;&gt;","")</f>
        <v/>
      </c>
      <c r="B111" s="3163"/>
      <c r="C111" s="3163"/>
      <c r="D111" s="3163"/>
      <c r="E111" s="490" t="s">
        <v>3332</v>
      </c>
      <c r="F111" s="1"/>
      <c r="G111" s="172"/>
      <c r="H111" s="82"/>
      <c r="I111" s="82"/>
      <c r="J111" s="2417"/>
      <c r="K111" s="2417"/>
      <c r="L111" s="2417"/>
      <c r="M111" s="2417"/>
      <c r="N111" s="2417"/>
      <c r="O111" s="596">
        <f t="shared" si="358"/>
        <v>0</v>
      </c>
      <c r="R111" s="3160"/>
      <c r="S111" s="3161"/>
      <c r="T111" s="3161"/>
      <c r="U111" s="3161"/>
      <c r="V111" s="3162"/>
      <c r="W111" s="1311"/>
      <c r="Z111" s="1311"/>
      <c r="AA111" s="457"/>
      <c r="AB111" s="1311"/>
      <c r="AE111" s="1311"/>
      <c r="AF111" s="457"/>
      <c r="AG111" s="1311"/>
      <c r="AJ111" s="1311"/>
      <c r="AK111" s="457"/>
      <c r="AL111" s="1311"/>
      <c r="AO111" s="1311"/>
      <c r="AP111" s="457"/>
      <c r="AQ111" s="458"/>
      <c r="AR111" s="458"/>
      <c r="AS111" s="458"/>
      <c r="AT111" s="458"/>
      <c r="AU111" s="458"/>
      <c r="AV111" s="458"/>
      <c r="AW111" s="1051"/>
      <c r="AX111" s="450"/>
      <c r="BA111" s="458"/>
      <c r="BB111" s="1051"/>
      <c r="BC111" s="450"/>
      <c r="LN111" s="456"/>
      <c r="MC111" s="448"/>
    </row>
    <row r="112" spans="1:341" ht="9" customHeight="1">
      <c r="A112" s="1055"/>
      <c r="B112" s="1055"/>
      <c r="C112" s="1055"/>
      <c r="D112" s="1055"/>
      <c r="E112" s="490"/>
      <c r="F112" s="1"/>
      <c r="G112" s="172"/>
      <c r="H112" s="82"/>
      <c r="I112" s="82"/>
      <c r="J112" s="35"/>
      <c r="K112" s="35"/>
      <c r="L112" s="35"/>
      <c r="M112" s="35"/>
      <c r="N112" s="35"/>
      <c r="O112" s="35"/>
      <c r="R112" s="3160"/>
      <c r="S112" s="3161"/>
      <c r="T112" s="3161"/>
      <c r="U112" s="3161"/>
      <c r="V112" s="3162"/>
      <c r="W112" s="1311"/>
      <c r="Z112" s="1311"/>
      <c r="AA112" s="457"/>
      <c r="AB112" s="1311"/>
      <c r="AE112" s="1311"/>
      <c r="AF112" s="457"/>
      <c r="AG112" s="1311"/>
      <c r="AJ112" s="1311"/>
      <c r="AK112" s="457"/>
      <c r="AL112" s="1311"/>
      <c r="AO112" s="1311"/>
      <c r="AP112" s="457"/>
      <c r="AQ112" s="458"/>
      <c r="AR112" s="458"/>
      <c r="AS112" s="458"/>
      <c r="AT112" s="458"/>
      <c r="AU112" s="458"/>
      <c r="AV112" s="458"/>
      <c r="AW112" s="1051"/>
      <c r="AX112" s="450"/>
      <c r="BA112" s="458"/>
      <c r="BB112" s="1051"/>
      <c r="BC112" s="450"/>
      <c r="LN112" s="456"/>
      <c r="MC112" s="448"/>
    </row>
    <row r="113" spans="1:341" ht="14.25" customHeight="1">
      <c r="A113" s="1055"/>
      <c r="B113" s="1055"/>
      <c r="C113" s="1055"/>
      <c r="D113" s="1055"/>
      <c r="E113" s="110" t="s">
        <v>3300</v>
      </c>
      <c r="F113" s="1"/>
      <c r="G113" s="172"/>
      <c r="H113" s="82"/>
      <c r="I113" s="82"/>
      <c r="J113" s="1471">
        <f>J117+J119+J121+J123+J125+J127+J129+J131</f>
        <v>0</v>
      </c>
      <c r="K113" s="1472">
        <f>K117+K119+K121+K123+K125+K127+K129+K131</f>
        <v>0</v>
      </c>
      <c r="L113" s="1472">
        <f>L117+L119+L121+L123+L125+L127+L129+L131</f>
        <v>0</v>
      </c>
      <c r="M113" s="1472">
        <f>M117+M119+M121+M123+M125+M127+M129+M131</f>
        <v>0</v>
      </c>
      <c r="N113" s="1473">
        <f>N117+N119+N121+N123+N125+N127+N129+N131</f>
        <v>0</v>
      </c>
      <c r="O113" s="604">
        <f>SUM(J113:N113)</f>
        <v>0</v>
      </c>
      <c r="R113" s="3164"/>
      <c r="S113" s="3165"/>
      <c r="T113" s="3165"/>
      <c r="U113" s="3165"/>
      <c r="V113" s="3166"/>
      <c r="W113" s="1311"/>
      <c r="Z113" s="1311"/>
      <c r="AA113" s="457"/>
      <c r="AB113" s="1311"/>
      <c r="AE113" s="1311"/>
      <c r="AF113" s="457"/>
      <c r="AG113" s="1311"/>
      <c r="AJ113" s="1311"/>
      <c r="AK113" s="457"/>
      <c r="AL113" s="1311"/>
      <c r="AO113" s="1311"/>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1670"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1"/>
      <c r="AR114" s="1311"/>
      <c r="AS114" s="1311"/>
      <c r="AT114" s="1311"/>
      <c r="AU114" s="1311"/>
      <c r="AV114" s="1311"/>
      <c r="AW114" s="638"/>
      <c r="AX114" s="450"/>
      <c r="BA114" s="1311"/>
      <c r="BB114" s="638"/>
      <c r="BC114" s="450"/>
      <c r="LN114" s="456"/>
      <c r="MC114" s="448"/>
    </row>
    <row r="115" spans="1:341" ht="14.25" customHeight="1">
      <c r="C115" s="3212" t="s">
        <v>3904</v>
      </c>
      <c r="D115" s="3212"/>
      <c r="E115" s="1150" t="s">
        <v>37</v>
      </c>
      <c r="F115" s="990"/>
      <c r="G115" s="1151"/>
      <c r="H115" s="1152"/>
      <c r="I115" s="1153"/>
      <c r="J115" s="1474">
        <f t="shared" ref="J115:O115" si="359">SUM(J116:J123)</f>
        <v>0</v>
      </c>
      <c r="K115" s="1475">
        <f t="shared" si="359"/>
        <v>32</v>
      </c>
      <c r="L115" s="1475">
        <f t="shared" si="359"/>
        <v>42</v>
      </c>
      <c r="M115" s="1475">
        <f t="shared" si="359"/>
        <v>10</v>
      </c>
      <c r="N115" s="1476">
        <f t="shared" si="359"/>
        <v>0</v>
      </c>
      <c r="O115" s="1420">
        <f t="shared" si="359"/>
        <v>84</v>
      </c>
      <c r="R115" s="3155"/>
      <c r="S115" s="3156"/>
      <c r="T115" s="3156"/>
      <c r="U115" s="3156"/>
      <c r="V115" s="3157"/>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158"/>
      <c r="D116" s="3158"/>
      <c r="E116" s="103"/>
      <c r="F116" s="4"/>
      <c r="G116" s="151"/>
      <c r="H116" s="897" t="s">
        <v>2570</v>
      </c>
      <c r="I116" s="1154"/>
      <c r="J116" s="1447">
        <f>JR48</f>
        <v>0</v>
      </c>
      <c r="K116" s="1448">
        <f>JS48</f>
        <v>0</v>
      </c>
      <c r="L116" s="1448">
        <f>JT48</f>
        <v>0</v>
      </c>
      <c r="M116" s="1448">
        <f>JU48</f>
        <v>0</v>
      </c>
      <c r="N116" s="1449">
        <f>JV48</f>
        <v>0</v>
      </c>
      <c r="O116" s="956">
        <f t="shared" ref="O116:O131" si="360">SUM(J116:N116)</f>
        <v>0</v>
      </c>
      <c r="R116" s="3160"/>
      <c r="S116" s="3161"/>
      <c r="T116" s="3161"/>
      <c r="U116" s="3161"/>
      <c r="V116" s="3162"/>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158"/>
      <c r="D117" s="3158"/>
      <c r="E117" s="103"/>
      <c r="F117" s="4"/>
      <c r="G117" s="151"/>
      <c r="H117" s="95" t="s">
        <v>3300</v>
      </c>
      <c r="I117" s="1154"/>
      <c r="J117" s="1477">
        <f>JW48</f>
        <v>0</v>
      </c>
      <c r="K117" s="1478">
        <f>JX48</f>
        <v>0</v>
      </c>
      <c r="L117" s="1478">
        <f>JY48</f>
        <v>0</v>
      </c>
      <c r="M117" s="1478">
        <f>JZ48</f>
        <v>0</v>
      </c>
      <c r="N117" s="1479">
        <f>KA48</f>
        <v>0</v>
      </c>
      <c r="O117" s="598">
        <f t="shared" si="360"/>
        <v>0</v>
      </c>
      <c r="R117" s="3160"/>
      <c r="S117" s="3161"/>
      <c r="T117" s="3161"/>
      <c r="U117" s="3161"/>
      <c r="V117" s="3162"/>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158"/>
      <c r="D118" s="3158"/>
      <c r="E118" s="103"/>
      <c r="F118" s="4"/>
      <c r="G118" s="151"/>
      <c r="H118" s="897" t="s">
        <v>2571</v>
      </c>
      <c r="I118" s="1154"/>
      <c r="J118" s="1447">
        <f>KB48</f>
        <v>0</v>
      </c>
      <c r="K118" s="1448">
        <f>KC48</f>
        <v>0</v>
      </c>
      <c r="L118" s="1448">
        <f>KD48</f>
        <v>0</v>
      </c>
      <c r="M118" s="1448">
        <f>KE48</f>
        <v>0</v>
      </c>
      <c r="N118" s="1449">
        <f>KF48</f>
        <v>0</v>
      </c>
      <c r="O118" s="599">
        <f t="shared" si="360"/>
        <v>0</v>
      </c>
      <c r="R118" s="3160"/>
      <c r="S118" s="3161"/>
      <c r="T118" s="3161"/>
      <c r="U118" s="3161"/>
      <c r="V118" s="3162"/>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158"/>
      <c r="D119" s="3158"/>
      <c r="E119" s="103"/>
      <c r="F119" s="4"/>
      <c r="G119" s="151"/>
      <c r="H119" s="95" t="s">
        <v>3300</v>
      </c>
      <c r="I119" s="1154"/>
      <c r="J119" s="1477">
        <f>KG48</f>
        <v>0</v>
      </c>
      <c r="K119" s="1478">
        <f>KH48</f>
        <v>0</v>
      </c>
      <c r="L119" s="1478">
        <f>KI48</f>
        <v>0</v>
      </c>
      <c r="M119" s="1478">
        <f>KJ48</f>
        <v>0</v>
      </c>
      <c r="N119" s="1479">
        <f>KK48</f>
        <v>0</v>
      </c>
      <c r="O119" s="598">
        <f t="shared" si="360"/>
        <v>0</v>
      </c>
      <c r="R119" s="3160"/>
      <c r="S119" s="3161"/>
      <c r="T119" s="3161"/>
      <c r="U119" s="3161"/>
      <c r="V119" s="3162"/>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158"/>
      <c r="D120" s="3158"/>
      <c r="E120" s="103"/>
      <c r="F120" s="4"/>
      <c r="G120" s="151"/>
      <c r="H120" s="897" t="s">
        <v>2573</v>
      </c>
      <c r="I120" s="1154"/>
      <c r="J120" s="1447">
        <f>KL48</f>
        <v>0</v>
      </c>
      <c r="K120" s="1448">
        <f>KM48</f>
        <v>32</v>
      </c>
      <c r="L120" s="1448">
        <f>KN48</f>
        <v>42</v>
      </c>
      <c r="M120" s="1448">
        <f>KO48</f>
        <v>10</v>
      </c>
      <c r="N120" s="1449">
        <f>KP48</f>
        <v>0</v>
      </c>
      <c r="O120" s="599">
        <f t="shared" si="360"/>
        <v>84</v>
      </c>
      <c r="R120" s="3160"/>
      <c r="S120" s="3161"/>
      <c r="T120" s="3161"/>
      <c r="U120" s="3161"/>
      <c r="V120" s="3162"/>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158"/>
      <c r="D121" s="3158"/>
      <c r="E121" s="103"/>
      <c r="F121" s="4"/>
      <c r="G121" s="151"/>
      <c r="H121" s="95" t="s">
        <v>3300</v>
      </c>
      <c r="I121" s="1154"/>
      <c r="J121" s="1477">
        <f>KQ48</f>
        <v>0</v>
      </c>
      <c r="K121" s="1478">
        <f>KR48</f>
        <v>0</v>
      </c>
      <c r="L121" s="1478">
        <f>KS48</f>
        <v>0</v>
      </c>
      <c r="M121" s="1478">
        <f>KT48</f>
        <v>0</v>
      </c>
      <c r="N121" s="1479">
        <f>KU48</f>
        <v>0</v>
      </c>
      <c r="O121" s="598">
        <f t="shared" si="360"/>
        <v>0</v>
      </c>
      <c r="R121" s="3160"/>
      <c r="S121" s="3161"/>
      <c r="T121" s="3161"/>
      <c r="U121" s="3161"/>
      <c r="V121" s="3162"/>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158"/>
      <c r="D122" s="3158"/>
      <c r="E122" s="103"/>
      <c r="F122" s="1"/>
      <c r="G122" s="82"/>
      <c r="H122" s="39" t="s">
        <v>2572</v>
      </c>
      <c r="I122" s="82"/>
      <c r="J122" s="1447">
        <f>KV48</f>
        <v>0</v>
      </c>
      <c r="K122" s="1448">
        <f>KW48</f>
        <v>0</v>
      </c>
      <c r="L122" s="1448">
        <f>KX48</f>
        <v>0</v>
      </c>
      <c r="M122" s="1448">
        <f>KY48</f>
        <v>0</v>
      </c>
      <c r="N122" s="1449">
        <f>KZ48</f>
        <v>0</v>
      </c>
      <c r="O122" s="599">
        <f t="shared" si="360"/>
        <v>0</v>
      </c>
      <c r="R122" s="3160"/>
      <c r="S122" s="3161"/>
      <c r="T122" s="3161"/>
      <c r="U122" s="3161"/>
      <c r="V122" s="3162"/>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158"/>
      <c r="D123" s="3158"/>
      <c r="E123" s="103"/>
      <c r="F123" s="1"/>
      <c r="G123" s="82"/>
      <c r="H123" s="893" t="s">
        <v>3300</v>
      </c>
      <c r="I123" s="82"/>
      <c r="J123" s="1447">
        <f>LA48</f>
        <v>0</v>
      </c>
      <c r="K123" s="1448">
        <f>LB48</f>
        <v>0</v>
      </c>
      <c r="L123" s="1448">
        <f>LC48</f>
        <v>0</v>
      </c>
      <c r="M123" s="1448">
        <f>LD48</f>
        <v>0</v>
      </c>
      <c r="N123" s="1449">
        <f>LE48</f>
        <v>0</v>
      </c>
      <c r="O123" s="956">
        <f t="shared" si="360"/>
        <v>0</v>
      </c>
      <c r="R123" s="3160"/>
      <c r="S123" s="3161"/>
      <c r="T123" s="3161"/>
      <c r="U123" s="3161"/>
      <c r="V123" s="3162"/>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38</v>
      </c>
      <c r="F124" s="1"/>
      <c r="G124" s="82"/>
      <c r="H124" s="39"/>
      <c r="I124" s="82"/>
      <c r="J124" s="1444">
        <f>ID48</f>
        <v>0</v>
      </c>
      <c r="K124" s="1445">
        <f>IE48</f>
        <v>0</v>
      </c>
      <c r="L124" s="1445">
        <f>IF48</f>
        <v>0</v>
      </c>
      <c r="M124" s="1445">
        <f>IG48</f>
        <v>0</v>
      </c>
      <c r="N124" s="1446">
        <f>IH48</f>
        <v>0</v>
      </c>
      <c r="O124" s="961">
        <f t="shared" si="360"/>
        <v>0</v>
      </c>
      <c r="R124" s="3160"/>
      <c r="S124" s="3161"/>
      <c r="T124" s="3161"/>
      <c r="U124" s="3161"/>
      <c r="V124" s="3162"/>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3300</v>
      </c>
      <c r="I125" s="82"/>
      <c r="J125" s="1477">
        <f>II48</f>
        <v>0</v>
      </c>
      <c r="K125" s="1478">
        <f>IJ48</f>
        <v>0</v>
      </c>
      <c r="L125" s="1478">
        <f>IK48</f>
        <v>0</v>
      </c>
      <c r="M125" s="1478">
        <f>IL48</f>
        <v>0</v>
      </c>
      <c r="N125" s="1479">
        <f>IM48</f>
        <v>0</v>
      </c>
      <c r="O125" s="598">
        <f t="shared" si="360"/>
        <v>0</v>
      </c>
      <c r="R125" s="3160"/>
      <c r="S125" s="3161"/>
      <c r="T125" s="3161"/>
      <c r="U125" s="3161"/>
      <c r="V125" s="3162"/>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39</v>
      </c>
      <c r="F126" s="1"/>
      <c r="G126" s="82"/>
      <c r="H126" s="39"/>
      <c r="I126" s="82"/>
      <c r="J126" s="1480">
        <f>JH48</f>
        <v>0</v>
      </c>
      <c r="K126" s="1481">
        <f>JI48</f>
        <v>0</v>
      </c>
      <c r="L126" s="1481">
        <f>JJ48</f>
        <v>0</v>
      </c>
      <c r="M126" s="1481">
        <f>JK48</f>
        <v>0</v>
      </c>
      <c r="N126" s="1482">
        <f>JL48</f>
        <v>0</v>
      </c>
      <c r="O126" s="599">
        <f t="shared" si="360"/>
        <v>0</v>
      </c>
      <c r="R126" s="3160"/>
      <c r="S126" s="3161"/>
      <c r="T126" s="3161"/>
      <c r="U126" s="3161"/>
      <c r="V126" s="3162"/>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3300</v>
      </c>
      <c r="I127" s="82"/>
      <c r="J127" s="1477">
        <f>JM48</f>
        <v>0</v>
      </c>
      <c r="K127" s="1478">
        <f>JN48</f>
        <v>0</v>
      </c>
      <c r="L127" s="1478">
        <f>JO48</f>
        <v>0</v>
      </c>
      <c r="M127" s="1478">
        <f>JP48</f>
        <v>0</v>
      </c>
      <c r="N127" s="1479">
        <f>JQ48</f>
        <v>0</v>
      </c>
      <c r="O127" s="598">
        <f t="shared" si="360"/>
        <v>0</v>
      </c>
      <c r="R127" s="3160"/>
      <c r="S127" s="3161"/>
      <c r="T127" s="3161"/>
      <c r="U127" s="3161"/>
      <c r="V127" s="3162"/>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555</v>
      </c>
      <c r="F128" s="1"/>
      <c r="G128" s="82"/>
      <c r="H128" s="39"/>
      <c r="I128" s="82"/>
      <c r="J128" s="1480">
        <f>IX48</f>
        <v>0</v>
      </c>
      <c r="K128" s="1481">
        <f>IY48</f>
        <v>0</v>
      </c>
      <c r="L128" s="1481">
        <f>IZ48</f>
        <v>0</v>
      </c>
      <c r="M128" s="1481">
        <f>JA48</f>
        <v>0</v>
      </c>
      <c r="N128" s="1482">
        <f>JB48</f>
        <v>0</v>
      </c>
      <c r="O128" s="599">
        <f t="shared" si="360"/>
        <v>0</v>
      </c>
      <c r="R128" s="3160"/>
      <c r="S128" s="3161"/>
      <c r="T128" s="3161"/>
      <c r="U128" s="3161"/>
      <c r="V128" s="3162"/>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3300</v>
      </c>
      <c r="I129" s="82"/>
      <c r="J129" s="1447">
        <f>JC48</f>
        <v>0</v>
      </c>
      <c r="K129" s="1448">
        <f>JD48</f>
        <v>0</v>
      </c>
      <c r="L129" s="1448">
        <f>JE48</f>
        <v>0</v>
      </c>
      <c r="M129" s="1448">
        <f>JF48</f>
        <v>0</v>
      </c>
      <c r="N129" s="1449">
        <f>JG48</f>
        <v>0</v>
      </c>
      <c r="O129" s="598">
        <f t="shared" si="360"/>
        <v>0</v>
      </c>
      <c r="R129" s="3160"/>
      <c r="S129" s="3161"/>
      <c r="T129" s="3161"/>
      <c r="U129" s="3161"/>
      <c r="V129" s="3162"/>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556</v>
      </c>
      <c r="F130" s="1"/>
      <c r="G130" s="82"/>
      <c r="H130" s="39"/>
      <c r="I130" s="82"/>
      <c r="J130" s="1480">
        <f>IN48</f>
        <v>0</v>
      </c>
      <c r="K130" s="1481">
        <f>IO48</f>
        <v>0</v>
      </c>
      <c r="L130" s="1481">
        <f>IP48</f>
        <v>0</v>
      </c>
      <c r="M130" s="1481">
        <f>IQ48</f>
        <v>0</v>
      </c>
      <c r="N130" s="1482">
        <f>IR48</f>
        <v>0</v>
      </c>
      <c r="O130" s="599">
        <f t="shared" si="360"/>
        <v>0</v>
      </c>
      <c r="R130" s="3160"/>
      <c r="S130" s="3161"/>
      <c r="T130" s="3161"/>
      <c r="U130" s="3161"/>
      <c r="V130" s="3162"/>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3300</v>
      </c>
      <c r="I131" s="82"/>
      <c r="J131" s="1450">
        <f>IS48</f>
        <v>0</v>
      </c>
      <c r="K131" s="1451">
        <f>IT48</f>
        <v>0</v>
      </c>
      <c r="L131" s="1451">
        <f>IU48</f>
        <v>0</v>
      </c>
      <c r="M131" s="1451">
        <f>IV48</f>
        <v>0</v>
      </c>
      <c r="N131" s="1452">
        <f>IW48</f>
        <v>0</v>
      </c>
      <c r="O131" s="957">
        <f t="shared" si="360"/>
        <v>0</v>
      </c>
      <c r="R131" s="3164"/>
      <c r="S131" s="3165"/>
      <c r="T131" s="3165"/>
      <c r="U131" s="3165"/>
      <c r="V131" s="3166"/>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4" customHeight="1" thickBot="1">
      <c r="A133" s="12" t="s">
        <v>729</v>
      </c>
      <c r="B133" s="12" t="s">
        <v>4668</v>
      </c>
      <c r="K133" s="3237" t="str">
        <f>$K$53</f>
        <v>40% of Units at 60% of AMI</v>
      </c>
      <c r="L133" s="3238"/>
      <c r="M133" s="3238"/>
      <c r="N133" s="3239"/>
      <c r="O133" s="82"/>
      <c r="R133" s="3175" t="str">
        <f>B133</f>
        <v>UNIT SUMMARY (Continued)</v>
      </c>
      <c r="S133" s="3175"/>
      <c r="T133" s="3175"/>
      <c r="U133" s="3175"/>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1601"/>
      <c r="R134" s="294" t="str">
        <f>C135</f>
        <v>Building Type:
(for Cost Limit purposes only - see Application Instructions for further detail)</v>
      </c>
      <c r="S134" s="406"/>
      <c r="T134" s="1643"/>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212" t="s">
        <v>4277</v>
      </c>
      <c r="D135" s="3212"/>
      <c r="E135" s="1150" t="s">
        <v>3295</v>
      </c>
      <c r="F135" s="1151"/>
      <c r="G135" s="1152"/>
      <c r="H135" s="1155"/>
      <c r="I135" s="1153"/>
      <c r="J135" s="1483">
        <f t="shared" ref="J135:N136" si="361">J124+J128+J130</f>
        <v>0</v>
      </c>
      <c r="K135" s="1484">
        <f t="shared" si="361"/>
        <v>0</v>
      </c>
      <c r="L135" s="1484">
        <f t="shared" si="361"/>
        <v>0</v>
      </c>
      <c r="M135" s="1484">
        <f t="shared" si="361"/>
        <v>0</v>
      </c>
      <c r="N135" s="1485">
        <f t="shared" si="361"/>
        <v>0</v>
      </c>
      <c r="O135" s="958">
        <f t="shared" ref="O135:O142" si="362">SUM(J135:N135)</f>
        <v>0</v>
      </c>
      <c r="R135" s="3155"/>
      <c r="S135" s="3156"/>
      <c r="T135" s="3156"/>
      <c r="U135" s="3156"/>
      <c r="V135" s="3157"/>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158"/>
      <c r="D136" s="3158"/>
      <c r="E136" s="103"/>
      <c r="F136" s="493"/>
      <c r="G136" s="151"/>
      <c r="H136" s="95" t="s">
        <v>3300</v>
      </c>
      <c r="I136" s="1154"/>
      <c r="J136" s="1486">
        <f t="shared" si="361"/>
        <v>0</v>
      </c>
      <c r="K136" s="1487">
        <f t="shared" si="361"/>
        <v>0</v>
      </c>
      <c r="L136" s="1487">
        <f t="shared" si="361"/>
        <v>0</v>
      </c>
      <c r="M136" s="1487">
        <f t="shared" si="361"/>
        <v>0</v>
      </c>
      <c r="N136" s="1488">
        <f t="shared" si="361"/>
        <v>0</v>
      </c>
      <c r="O136" s="601">
        <f t="shared" si="362"/>
        <v>0</v>
      </c>
      <c r="R136" s="3160"/>
      <c r="S136" s="3161"/>
      <c r="T136" s="3161"/>
      <c r="U136" s="3161"/>
      <c r="V136" s="3162"/>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158"/>
      <c r="D137" s="3158"/>
      <c r="E137" s="103" t="s">
        <v>3296</v>
      </c>
      <c r="F137" s="493"/>
      <c r="G137" s="151"/>
      <c r="H137" s="493"/>
      <c r="I137" s="1154"/>
      <c r="J137" s="1489">
        <f t="shared" ref="J137:N138" si="363">J116+J126</f>
        <v>0</v>
      </c>
      <c r="K137" s="1490">
        <f t="shared" si="363"/>
        <v>0</v>
      </c>
      <c r="L137" s="1490">
        <f t="shared" si="363"/>
        <v>0</v>
      </c>
      <c r="M137" s="1490">
        <f t="shared" si="363"/>
        <v>0</v>
      </c>
      <c r="N137" s="1491">
        <f t="shared" si="363"/>
        <v>0</v>
      </c>
      <c r="O137" s="959">
        <f t="shared" si="362"/>
        <v>0</v>
      </c>
      <c r="R137" s="3160"/>
      <c r="S137" s="3161"/>
      <c r="T137" s="3161"/>
      <c r="U137" s="3161"/>
      <c r="V137" s="3162"/>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158"/>
      <c r="D138" s="3158"/>
      <c r="E138" s="103"/>
      <c r="F138" s="493"/>
      <c r="G138" s="151"/>
      <c r="H138" s="95" t="s">
        <v>3300</v>
      </c>
      <c r="I138" s="1154"/>
      <c r="J138" s="1486">
        <f t="shared" si="363"/>
        <v>0</v>
      </c>
      <c r="K138" s="1487">
        <f t="shared" si="363"/>
        <v>0</v>
      </c>
      <c r="L138" s="1487">
        <f t="shared" si="363"/>
        <v>0</v>
      </c>
      <c r="M138" s="1487">
        <f t="shared" si="363"/>
        <v>0</v>
      </c>
      <c r="N138" s="1488">
        <f t="shared" si="363"/>
        <v>0</v>
      </c>
      <c r="O138" s="601">
        <f t="shared" si="362"/>
        <v>0</v>
      </c>
      <c r="R138" s="3160"/>
      <c r="S138" s="3161"/>
      <c r="T138" s="3161"/>
      <c r="U138" s="3161"/>
      <c r="V138" s="3162"/>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158"/>
      <c r="D139" s="3158"/>
      <c r="E139" s="103" t="s">
        <v>3297</v>
      </c>
      <c r="F139" s="493"/>
      <c r="G139" s="151"/>
      <c r="H139" s="897"/>
      <c r="I139" s="1154"/>
      <c r="J139" s="1489">
        <f t="shared" ref="J139:N140" si="364">J120</f>
        <v>0</v>
      </c>
      <c r="K139" s="1490">
        <f t="shared" si="364"/>
        <v>32</v>
      </c>
      <c r="L139" s="1490">
        <f t="shared" si="364"/>
        <v>42</v>
      </c>
      <c r="M139" s="1490">
        <f t="shared" si="364"/>
        <v>10</v>
      </c>
      <c r="N139" s="1491">
        <f t="shared" si="364"/>
        <v>0</v>
      </c>
      <c r="O139" s="959">
        <f t="shared" si="362"/>
        <v>84</v>
      </c>
      <c r="R139" s="3160"/>
      <c r="S139" s="3161"/>
      <c r="T139" s="3161"/>
      <c r="U139" s="3161"/>
      <c r="V139" s="3162"/>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158"/>
      <c r="D140" s="3158"/>
      <c r="E140" s="103"/>
      <c r="F140" s="493"/>
      <c r="G140" s="151"/>
      <c r="H140" s="95" t="s">
        <v>3300</v>
      </c>
      <c r="I140" s="1154"/>
      <c r="J140" s="1486">
        <f t="shared" si="364"/>
        <v>0</v>
      </c>
      <c r="K140" s="1487">
        <f t="shared" si="364"/>
        <v>0</v>
      </c>
      <c r="L140" s="1487">
        <f t="shared" si="364"/>
        <v>0</v>
      </c>
      <c r="M140" s="1487">
        <f t="shared" si="364"/>
        <v>0</v>
      </c>
      <c r="N140" s="1488">
        <f t="shared" si="364"/>
        <v>0</v>
      </c>
      <c r="O140" s="601">
        <f t="shared" si="362"/>
        <v>0</v>
      </c>
      <c r="R140" s="3160"/>
      <c r="S140" s="3161"/>
      <c r="T140" s="3161"/>
      <c r="U140" s="3161"/>
      <c r="V140" s="3162"/>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158"/>
      <c r="D141" s="3158"/>
      <c r="E141" s="103" t="s">
        <v>3298</v>
      </c>
      <c r="F141" s="493"/>
      <c r="G141" s="151"/>
      <c r="H141" s="897"/>
      <c r="I141" s="1154"/>
      <c r="J141" s="1489">
        <f t="shared" ref="J141:N142" si="365">J118+J122</f>
        <v>0</v>
      </c>
      <c r="K141" s="1490">
        <f t="shared" si="365"/>
        <v>0</v>
      </c>
      <c r="L141" s="1490">
        <f t="shared" si="365"/>
        <v>0</v>
      </c>
      <c r="M141" s="1490">
        <f t="shared" si="365"/>
        <v>0</v>
      </c>
      <c r="N141" s="1491">
        <f t="shared" si="365"/>
        <v>0</v>
      </c>
      <c r="O141" s="959">
        <f t="shared" si="362"/>
        <v>0</v>
      </c>
      <c r="R141" s="3160"/>
      <c r="S141" s="3161"/>
      <c r="T141" s="3161"/>
      <c r="U141" s="3161"/>
      <c r="V141" s="3162"/>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3300</v>
      </c>
      <c r="I142" s="82"/>
      <c r="J142" s="1492">
        <f t="shared" si="365"/>
        <v>0</v>
      </c>
      <c r="K142" s="1493">
        <f t="shared" si="365"/>
        <v>0</v>
      </c>
      <c r="L142" s="1493">
        <f t="shared" si="365"/>
        <v>0</v>
      </c>
      <c r="M142" s="1493">
        <f t="shared" si="365"/>
        <v>0</v>
      </c>
      <c r="N142" s="1494">
        <f t="shared" si="365"/>
        <v>0</v>
      </c>
      <c r="O142" s="960">
        <f t="shared" si="362"/>
        <v>0</v>
      </c>
      <c r="P142" s="3167" t="s">
        <v>4701</v>
      </c>
      <c r="R142" s="3164"/>
      <c r="S142" s="3165"/>
      <c r="T142" s="3165"/>
      <c r="U142" s="3165"/>
      <c r="V142" s="3166"/>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438"/>
      <c r="B143" s="1438"/>
      <c r="D143" s="603"/>
      <c r="E143" s="110"/>
      <c r="F143" s="1"/>
      <c r="G143" s="82"/>
      <c r="H143" s="35"/>
      <c r="I143" s="82"/>
      <c r="J143" s="597"/>
      <c r="K143" s="597"/>
      <c r="L143" s="597"/>
      <c r="M143" s="597"/>
      <c r="N143" s="597"/>
      <c r="O143" s="597"/>
      <c r="P143" s="3167"/>
      <c r="R143" s="312"/>
      <c r="S143" s="151"/>
      <c r="T143" s="407"/>
      <c r="W143" s="1311"/>
      <c r="Z143" s="1311"/>
      <c r="AA143" s="457"/>
      <c r="AB143" s="1311"/>
      <c r="AE143" s="1311"/>
      <c r="AF143" s="457"/>
      <c r="AG143" s="1311"/>
      <c r="AJ143" s="1311"/>
      <c r="AK143" s="457"/>
      <c r="AL143" s="1311"/>
      <c r="AO143" s="1311"/>
      <c r="AP143" s="457"/>
      <c r="AQ143" s="1311"/>
      <c r="AR143" s="1311"/>
      <c r="AS143" s="1311"/>
      <c r="AT143" s="1311"/>
      <c r="AU143" s="1311"/>
      <c r="AV143" s="1311"/>
      <c r="AW143" s="638"/>
      <c r="AX143" s="450"/>
      <c r="BA143" s="1311"/>
      <c r="BB143" s="638"/>
      <c r="BC143" s="450"/>
      <c r="LN143" s="456"/>
      <c r="MC143" s="448"/>
    </row>
    <row r="144" spans="1:341" ht="12" customHeight="1">
      <c r="A144" s="12"/>
      <c r="B144" s="12" t="s">
        <v>2138</v>
      </c>
      <c r="C144" s="1"/>
      <c r="D144" s="1"/>
      <c r="E144" s="1"/>
      <c r="F144" s="1"/>
      <c r="G144" s="82"/>
      <c r="H144" s="39"/>
      <c r="I144" s="82"/>
      <c r="J144" s="602"/>
      <c r="K144" s="602"/>
      <c r="L144" s="602"/>
      <c r="M144" s="602"/>
      <c r="N144" s="602"/>
      <c r="O144" s="602"/>
      <c r="P144" s="3167"/>
      <c r="R144" s="3174" t="str">
        <f>B144</f>
        <v>Unit Square Footage:</v>
      </c>
      <c r="S144" s="3174"/>
      <c r="T144" s="3174"/>
      <c r="W144" s="1311"/>
      <c r="Z144" s="1311"/>
      <c r="AA144" s="457"/>
      <c r="AB144" s="1311"/>
      <c r="AE144" s="1311"/>
      <c r="AF144" s="457"/>
      <c r="AG144" s="1311"/>
      <c r="AJ144" s="1311"/>
      <c r="AK144" s="457"/>
      <c r="AL144" s="1311"/>
      <c r="AO144" s="1311"/>
      <c r="AP144" s="457"/>
      <c r="AQ144" s="1311"/>
      <c r="AR144" s="1311"/>
      <c r="AS144" s="1311"/>
      <c r="AT144" s="1311"/>
      <c r="AU144" s="1311"/>
      <c r="AV144" s="1311"/>
      <c r="AW144" s="638"/>
      <c r="AX144" s="450"/>
      <c r="BA144" s="1311"/>
      <c r="BB144" s="638"/>
      <c r="BC144" s="450"/>
      <c r="LN144" s="456"/>
      <c r="MC144" s="448"/>
    </row>
    <row r="145" spans="1:492" ht="14.25" customHeight="1">
      <c r="C145" s="4" t="s">
        <v>2109</v>
      </c>
      <c r="D145" s="1"/>
      <c r="E145" s="1"/>
      <c r="F145" s="1"/>
      <c r="G145" s="82"/>
      <c r="H145" s="54" t="s">
        <v>4287</v>
      </c>
      <c r="I145" s="82"/>
      <c r="J145" s="1462">
        <f>EH48</f>
        <v>0</v>
      </c>
      <c r="K145" s="1463">
        <f>EI48</f>
        <v>0</v>
      </c>
      <c r="L145" s="1463">
        <f>EJ48</f>
        <v>0</v>
      </c>
      <c r="M145" s="1463">
        <f>EK48</f>
        <v>0</v>
      </c>
      <c r="N145" s="1464">
        <f>EL48</f>
        <v>0</v>
      </c>
      <c r="O145" s="1409">
        <f t="shared" ref="O145:O151" si="366">SUM(J145:N145)</f>
        <v>0</v>
      </c>
      <c r="P145" s="1633" t="str">
        <f t="shared" ref="P145:P151" si="367">IF(OR(O56=0,O56=""),"",O145/O56)</f>
        <v/>
      </c>
      <c r="R145" s="3155"/>
      <c r="S145" s="3156"/>
      <c r="T145" s="3156"/>
      <c r="U145" s="3156"/>
      <c r="V145" s="3157"/>
      <c r="W145" s="1311"/>
      <c r="Z145" s="1311"/>
      <c r="AA145" s="457"/>
      <c r="AB145" s="1311"/>
      <c r="AE145" s="1311"/>
      <c r="AF145" s="457"/>
      <c r="AG145" s="1311"/>
      <c r="AJ145" s="1311"/>
      <c r="AK145" s="457"/>
      <c r="AL145" s="1311"/>
      <c r="AO145" s="1311"/>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4288</v>
      </c>
      <c r="I146" s="82"/>
      <c r="J146" s="1495">
        <f>EM48</f>
        <v>0</v>
      </c>
      <c r="K146" s="1496">
        <f>EN48</f>
        <v>0</v>
      </c>
      <c r="L146" s="1496">
        <f>EO48</f>
        <v>0</v>
      </c>
      <c r="M146" s="1496">
        <f>EP48</f>
        <v>0</v>
      </c>
      <c r="N146" s="1497">
        <f>EQ48</f>
        <v>0</v>
      </c>
      <c r="O146" s="1410">
        <f t="shared" si="366"/>
        <v>0</v>
      </c>
      <c r="P146" s="1633" t="str">
        <f t="shared" si="367"/>
        <v/>
      </c>
      <c r="R146" s="3160"/>
      <c r="S146" s="3161"/>
      <c r="T146" s="3161"/>
      <c r="U146" s="3161"/>
      <c r="V146" s="3162"/>
      <c r="W146" s="1311"/>
      <c r="Z146" s="1311"/>
      <c r="AA146" s="457"/>
      <c r="AB146" s="1311"/>
      <c r="AE146" s="1311"/>
      <c r="AF146" s="457"/>
      <c r="AG146" s="1311"/>
      <c r="AJ146" s="1311"/>
      <c r="AK146" s="457"/>
      <c r="AL146" s="1311"/>
      <c r="AO146" s="1311"/>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1136</v>
      </c>
      <c r="I147" s="82"/>
      <c r="J147" s="1495">
        <f>ER48</f>
        <v>0</v>
      </c>
      <c r="K147" s="1496">
        <f>ES48</f>
        <v>14910</v>
      </c>
      <c r="L147" s="1496">
        <f>ET48</f>
        <v>25650</v>
      </c>
      <c r="M147" s="1496">
        <f>EU48</f>
        <v>7200</v>
      </c>
      <c r="N147" s="1497">
        <f>EV48</f>
        <v>0</v>
      </c>
      <c r="O147" s="1410">
        <f t="shared" si="366"/>
        <v>47760</v>
      </c>
      <c r="P147" s="1633">
        <f t="shared" si="367"/>
        <v>884.44444444444446</v>
      </c>
      <c r="R147" s="3160"/>
      <c r="S147" s="3161"/>
      <c r="T147" s="3161"/>
      <c r="U147" s="3161"/>
      <c r="V147" s="3162"/>
      <c r="W147" s="1311"/>
      <c r="Z147" s="1311"/>
      <c r="AA147" s="457"/>
      <c r="AB147" s="1311"/>
      <c r="AE147" s="1311"/>
      <c r="AF147" s="457"/>
      <c r="AG147" s="1311"/>
      <c r="AJ147" s="1311"/>
      <c r="AK147" s="457"/>
      <c r="AL147" s="1311"/>
      <c r="AO147" s="1311"/>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116</v>
      </c>
      <c r="I148" s="1154"/>
      <c r="J148" s="1623">
        <f>EW48</f>
        <v>0</v>
      </c>
      <c r="K148" s="1624">
        <f>EX48</f>
        <v>4970</v>
      </c>
      <c r="L148" s="1624">
        <f>EY48</f>
        <v>7600</v>
      </c>
      <c r="M148" s="1624">
        <f>EZ48</f>
        <v>2400</v>
      </c>
      <c r="N148" s="1625">
        <f>FA48</f>
        <v>0</v>
      </c>
      <c r="O148" s="1626">
        <f t="shared" si="366"/>
        <v>14970</v>
      </c>
      <c r="P148" s="1633">
        <f t="shared" si="367"/>
        <v>880.58823529411768</v>
      </c>
      <c r="R148" s="3160"/>
      <c r="S148" s="3161"/>
      <c r="T148" s="3161"/>
      <c r="U148" s="3161"/>
      <c r="V148" s="3162"/>
      <c r="W148" s="1311"/>
      <c r="Z148" s="1311"/>
      <c r="AA148" s="457"/>
      <c r="AB148" s="1311"/>
      <c r="AE148" s="1311"/>
      <c r="AF148" s="457"/>
      <c r="AG148" s="1311"/>
      <c r="AJ148" s="1311"/>
      <c r="AK148" s="457"/>
      <c r="AL148" s="1311"/>
      <c r="AO148" s="1311"/>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4289</v>
      </c>
      <c r="I149" s="1154"/>
      <c r="J149" s="1495">
        <f>FB48</f>
        <v>0</v>
      </c>
      <c r="K149" s="1496">
        <f>FC48</f>
        <v>0</v>
      </c>
      <c r="L149" s="1496">
        <f>FD48</f>
        <v>0</v>
      </c>
      <c r="M149" s="1496">
        <f>FE48</f>
        <v>0</v>
      </c>
      <c r="N149" s="1497">
        <f>FF48</f>
        <v>0</v>
      </c>
      <c r="O149" s="1410">
        <f t="shared" si="366"/>
        <v>0</v>
      </c>
      <c r="P149" s="1633" t="str">
        <f t="shared" si="367"/>
        <v/>
      </c>
      <c r="R149" s="3160"/>
      <c r="S149" s="3161"/>
      <c r="T149" s="3161"/>
      <c r="U149" s="3161"/>
      <c r="V149" s="3162"/>
      <c r="W149" s="1311"/>
      <c r="Z149" s="1311"/>
      <c r="AA149" s="457"/>
      <c r="AB149" s="1311"/>
      <c r="AE149" s="1311"/>
      <c r="AF149" s="457"/>
      <c r="AG149" s="1311"/>
      <c r="AJ149" s="1311"/>
      <c r="AK149" s="457"/>
      <c r="AL149" s="1311"/>
      <c r="AO149" s="1311"/>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4290</v>
      </c>
      <c r="I150" s="82"/>
      <c r="J150" s="1495">
        <f>FG48</f>
        <v>0</v>
      </c>
      <c r="K150" s="1496">
        <f>FH48</f>
        <v>0</v>
      </c>
      <c r="L150" s="1496">
        <f>FI48</f>
        <v>0</v>
      </c>
      <c r="M150" s="1496">
        <f>FJ48</f>
        <v>0</v>
      </c>
      <c r="N150" s="1497">
        <f>FK48</f>
        <v>0</v>
      </c>
      <c r="O150" s="1410">
        <f t="shared" si="366"/>
        <v>0</v>
      </c>
      <c r="P150" s="1633" t="str">
        <f t="shared" si="367"/>
        <v/>
      </c>
      <c r="R150" s="3160"/>
      <c r="S150" s="3161"/>
      <c r="T150" s="3161"/>
      <c r="U150" s="3161"/>
      <c r="V150" s="3162"/>
      <c r="W150" s="1311"/>
      <c r="Z150" s="1311"/>
      <c r="AA150" s="457"/>
      <c r="AB150" s="1311"/>
      <c r="AE150" s="1311"/>
      <c r="AF150" s="457"/>
      <c r="AG150" s="1311"/>
      <c r="AJ150" s="1311"/>
      <c r="AK150" s="457"/>
      <c r="AL150" s="1311"/>
      <c r="AO150" s="1311"/>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4291</v>
      </c>
      <c r="I151" s="82"/>
      <c r="J151" s="1468">
        <f>FL48</f>
        <v>0</v>
      </c>
      <c r="K151" s="1469">
        <f>FM48</f>
        <v>0</v>
      </c>
      <c r="L151" s="1469">
        <f>FN48</f>
        <v>0</v>
      </c>
      <c r="M151" s="1469">
        <f>FO48</f>
        <v>0</v>
      </c>
      <c r="N151" s="1470">
        <f>FP48</f>
        <v>0</v>
      </c>
      <c r="O151" s="1411">
        <f t="shared" si="366"/>
        <v>0</v>
      </c>
      <c r="P151" s="1633" t="str">
        <f t="shared" si="367"/>
        <v/>
      </c>
      <c r="R151" s="3160"/>
      <c r="S151" s="3161"/>
      <c r="T151" s="3161"/>
      <c r="U151" s="3161"/>
      <c r="V151" s="3162"/>
      <c r="W151" s="1310"/>
      <c r="Z151" s="1311"/>
      <c r="AA151" s="457"/>
      <c r="AB151" s="1310"/>
      <c r="AE151" s="1311"/>
      <c r="AF151" s="457"/>
      <c r="AG151" s="1310"/>
      <c r="AJ151" s="1311"/>
      <c r="AK151" s="457"/>
      <c r="AL151" s="1310"/>
      <c r="AO151" s="1311"/>
      <c r="AP151" s="457"/>
      <c r="AQ151" s="458"/>
      <c r="AR151" s="458"/>
      <c r="AS151" s="458"/>
      <c r="AT151" s="458"/>
      <c r="AU151" s="458"/>
      <c r="AV151" s="458"/>
      <c r="AW151" s="1311"/>
      <c r="AX151" s="450"/>
      <c r="BA151" s="458"/>
      <c r="BB151" s="1311"/>
      <c r="BC151" s="450"/>
      <c r="LN151" s="456"/>
      <c r="MC151" s="448"/>
    </row>
    <row r="152" spans="1:492" ht="14.25" customHeight="1">
      <c r="C152" s="3"/>
      <c r="D152" s="1"/>
      <c r="E152" s="1"/>
      <c r="F152" s="1"/>
      <c r="G152" s="82"/>
      <c r="H152" s="39" t="s">
        <v>4372</v>
      </c>
      <c r="I152" s="82"/>
      <c r="J152" s="1419">
        <f>SUM(J145:J151)</f>
        <v>0</v>
      </c>
      <c r="K152" s="1419">
        <f>SUM(K145:K151)</f>
        <v>19880</v>
      </c>
      <c r="L152" s="1419">
        <f>SUM(L145:L151)</f>
        <v>33250</v>
      </c>
      <c r="M152" s="1419">
        <f>SUM(M145:M151)</f>
        <v>9600</v>
      </c>
      <c r="N152" s="1419">
        <f>SUM(N145:N151)</f>
        <v>0</v>
      </c>
      <c r="O152" s="1419">
        <f>SUM(J152:N152)</f>
        <v>62730</v>
      </c>
      <c r="R152" s="3160"/>
      <c r="S152" s="3161"/>
      <c r="T152" s="3161"/>
      <c r="U152" s="3161"/>
      <c r="V152" s="3162"/>
      <c r="W152" s="1310"/>
      <c r="Z152" s="1311"/>
      <c r="AA152" s="457"/>
      <c r="AB152" s="1310"/>
      <c r="AE152" s="1311"/>
      <c r="AF152" s="457"/>
      <c r="AG152" s="1310"/>
      <c r="AJ152" s="1311"/>
      <c r="AK152" s="457"/>
      <c r="AL152" s="1310"/>
      <c r="AO152" s="1311"/>
      <c r="AP152" s="457"/>
      <c r="AQ152" s="458"/>
      <c r="AR152" s="458"/>
      <c r="AS152" s="458"/>
      <c r="AT152" s="458"/>
      <c r="AU152" s="458"/>
      <c r="AV152" s="458"/>
      <c r="AW152" s="1311"/>
      <c r="AX152" s="450"/>
      <c r="BA152" s="458"/>
      <c r="BB152" s="1311"/>
      <c r="BC152" s="450"/>
      <c r="LN152" s="456"/>
      <c r="MC152" s="448"/>
    </row>
    <row r="153" spans="1:492" ht="14.25" customHeight="1">
      <c r="C153" s="1" t="s">
        <v>300</v>
      </c>
      <c r="D153" s="1"/>
      <c r="E153" s="1"/>
      <c r="F153" s="1"/>
      <c r="G153" s="1"/>
      <c r="H153" s="82"/>
      <c r="I153" s="82"/>
      <c r="J153" s="1498">
        <f>FQ48</f>
        <v>0</v>
      </c>
      <c r="K153" s="1499">
        <f>FR48</f>
        <v>2840</v>
      </c>
      <c r="L153" s="1499">
        <f>FS48</f>
        <v>6650</v>
      </c>
      <c r="M153" s="1499">
        <f>FT48</f>
        <v>2400</v>
      </c>
      <c r="N153" s="1500">
        <f>FU48</f>
        <v>0</v>
      </c>
      <c r="O153" s="1417">
        <f>SUM(J153:N153)</f>
        <v>11890</v>
      </c>
      <c r="P153" s="1633">
        <f>IF(OR(O64=0,O64=""),"",O153/O64)</f>
        <v>914.61538461538464</v>
      </c>
      <c r="R153" s="3160"/>
      <c r="S153" s="3161"/>
      <c r="T153" s="3161"/>
      <c r="U153" s="3161"/>
      <c r="V153" s="3162"/>
      <c r="W153" s="450"/>
      <c r="Z153" s="1311"/>
      <c r="AA153" s="1311"/>
      <c r="AB153" s="450"/>
      <c r="AE153" s="1311"/>
      <c r="AF153" s="1311"/>
      <c r="AG153" s="450"/>
      <c r="AJ153" s="1311"/>
      <c r="AK153" s="1311"/>
      <c r="AL153" s="450"/>
      <c r="AO153" s="1311"/>
      <c r="AP153" s="1311"/>
      <c r="AQ153" s="458"/>
      <c r="AR153" s="458"/>
      <c r="AS153" s="458"/>
      <c r="AT153" s="458"/>
      <c r="AU153" s="458"/>
      <c r="AV153" s="458"/>
      <c r="AW153" s="638"/>
      <c r="AX153" s="450"/>
      <c r="BA153" s="458"/>
      <c r="BB153" s="638"/>
      <c r="BC153" s="450"/>
      <c r="LN153" s="456"/>
      <c r="MC153" s="448"/>
    </row>
    <row r="154" spans="1:492" ht="14.25" customHeight="1">
      <c r="C154" s="4" t="s">
        <v>1125</v>
      </c>
      <c r="D154" s="1"/>
      <c r="E154" s="1"/>
      <c r="F154" s="1"/>
      <c r="G154" s="1"/>
      <c r="H154" s="82"/>
      <c r="I154" s="82"/>
      <c r="J154" s="1418">
        <f>SUM(J152:J153)</f>
        <v>0</v>
      </c>
      <c r="K154" s="1418">
        <f>SUM(K152:K153)</f>
        <v>22720</v>
      </c>
      <c r="L154" s="1418">
        <f>SUM(L152:L153)</f>
        <v>39900</v>
      </c>
      <c r="M154" s="1418">
        <f>SUM(M152:M153)</f>
        <v>12000</v>
      </c>
      <c r="N154" s="1418">
        <f>SUM(N152:N153)</f>
        <v>0</v>
      </c>
      <c r="O154" s="1418">
        <f>SUM(J154:N154)</f>
        <v>74620</v>
      </c>
      <c r="R154" s="3160"/>
      <c r="S154" s="3161"/>
      <c r="T154" s="3161"/>
      <c r="U154" s="3161"/>
      <c r="V154" s="3162"/>
      <c r="W154" s="1311"/>
      <c r="Z154" s="1311"/>
      <c r="AA154" s="1311"/>
      <c r="AB154" s="1311"/>
      <c r="AE154" s="1311"/>
      <c r="AF154" s="1311"/>
      <c r="AG154" s="1311"/>
      <c r="AJ154" s="1311"/>
      <c r="AK154" s="1311"/>
      <c r="AL154" s="1311"/>
      <c r="AO154" s="1311"/>
      <c r="AP154" s="1311"/>
      <c r="AQ154" s="458"/>
      <c r="AR154" s="458"/>
      <c r="AS154" s="458"/>
      <c r="AT154" s="458"/>
      <c r="AU154" s="458"/>
      <c r="AV154" s="458"/>
      <c r="AW154" s="638"/>
      <c r="AX154" s="450"/>
      <c r="BA154" s="458"/>
      <c r="BB154" s="638"/>
      <c r="BC154" s="450"/>
      <c r="LN154" s="456"/>
      <c r="MC154" s="448"/>
    </row>
    <row r="155" spans="1:492" ht="14.25" customHeight="1">
      <c r="C155" s="4" t="s">
        <v>2478</v>
      </c>
      <c r="D155" s="1"/>
      <c r="E155" s="1"/>
      <c r="F155" s="1"/>
      <c r="G155" s="1"/>
      <c r="H155" s="82"/>
      <c r="I155" s="82"/>
      <c r="J155" s="1498">
        <f>GA48</f>
        <v>0</v>
      </c>
      <c r="K155" s="1499">
        <f>GB48</f>
        <v>0</v>
      </c>
      <c r="L155" s="1499">
        <f>GC48</f>
        <v>0</v>
      </c>
      <c r="M155" s="1499">
        <f>GD48</f>
        <v>0</v>
      </c>
      <c r="N155" s="1500">
        <f>GE48</f>
        <v>0</v>
      </c>
      <c r="O155" s="1417">
        <f>SUM(J155:N155)</f>
        <v>0</v>
      </c>
      <c r="P155" s="1633" t="str">
        <f>IF(OR(O66=0,O66=""),"",O155/O66)</f>
        <v/>
      </c>
      <c r="R155" s="3160"/>
      <c r="S155" s="3161"/>
      <c r="T155" s="3161"/>
      <c r="U155" s="3161"/>
      <c r="V155" s="3162"/>
      <c r="W155" s="1311"/>
      <c r="Z155" s="1311"/>
      <c r="AA155" s="1311"/>
      <c r="AB155" s="1311"/>
      <c r="AE155" s="1311"/>
      <c r="AF155" s="1311"/>
      <c r="AG155" s="1311"/>
      <c r="AJ155" s="1311"/>
      <c r="AK155" s="1311"/>
      <c r="AL155" s="1311"/>
      <c r="AO155" s="1311"/>
      <c r="AP155" s="1311"/>
      <c r="AQ155" s="458"/>
      <c r="AR155" s="458"/>
      <c r="AS155" s="458"/>
      <c r="AT155" s="458"/>
      <c r="AU155" s="458"/>
      <c r="AV155" s="458"/>
      <c r="AW155" s="638"/>
      <c r="AX155" s="450"/>
      <c r="BA155" s="458"/>
      <c r="BB155" s="638"/>
      <c r="BC155" s="450"/>
      <c r="LN155" s="456"/>
      <c r="MC155" s="448"/>
    </row>
    <row r="156" spans="1:492" ht="14.25" customHeight="1">
      <c r="C156" s="4" t="s">
        <v>531</v>
      </c>
      <c r="D156" s="1"/>
      <c r="E156" s="1"/>
      <c r="F156" s="1"/>
      <c r="G156" s="1"/>
      <c r="H156" s="82"/>
      <c r="I156" s="82"/>
      <c r="J156" s="1416">
        <f>SUM(J154:J155)</f>
        <v>0</v>
      </c>
      <c r="K156" s="1416">
        <f>SUM(K154:K155)</f>
        <v>22720</v>
      </c>
      <c r="L156" s="1416">
        <f>SUM(L154:L155)</f>
        <v>39900</v>
      </c>
      <c r="M156" s="1416">
        <f>SUM(M154:M155)</f>
        <v>12000</v>
      </c>
      <c r="N156" s="1416">
        <f>SUM(N154:N155)</f>
        <v>0</v>
      </c>
      <c r="O156" s="1416">
        <f>SUM(J156:N156)</f>
        <v>74620</v>
      </c>
      <c r="R156" s="3164"/>
      <c r="S156" s="3165"/>
      <c r="T156" s="3165"/>
      <c r="U156" s="3165"/>
      <c r="V156" s="3166"/>
      <c r="W156" s="1311"/>
      <c r="Z156" s="1311"/>
      <c r="AA156" s="1311"/>
      <c r="AB156" s="1311"/>
      <c r="AE156" s="1311"/>
      <c r="AF156" s="1311"/>
      <c r="AG156" s="1311"/>
      <c r="AJ156" s="1311"/>
      <c r="AK156" s="1311"/>
      <c r="AL156" s="1311"/>
      <c r="AO156" s="1311"/>
      <c r="AP156" s="1311"/>
      <c r="AQ156" s="458"/>
      <c r="AR156" s="458"/>
      <c r="AS156" s="458"/>
      <c r="AT156" s="458"/>
      <c r="AU156" s="458"/>
      <c r="AV156" s="458"/>
      <c r="AW156" s="638"/>
      <c r="AX156" s="450"/>
      <c r="BA156" s="458"/>
      <c r="BB156" s="638"/>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1705"/>
      <c r="JW158" s="450"/>
      <c r="JX158" s="450"/>
      <c r="JY158" s="450"/>
      <c r="JZ158" s="450"/>
      <c r="KA158" s="1705"/>
      <c r="KB158" s="1705"/>
      <c r="KC158" s="1705"/>
      <c r="KD158" s="1705"/>
      <c r="KE158" s="1705"/>
      <c r="KF158" s="1705"/>
      <c r="KG158" s="1705"/>
      <c r="KH158" s="1705"/>
      <c r="KI158" s="1705"/>
      <c r="KJ158" s="1705"/>
      <c r="KK158" s="1705"/>
      <c r="KL158" s="1705"/>
      <c r="KM158" s="1705"/>
      <c r="KN158" s="1705"/>
      <c r="KO158" s="1705"/>
      <c r="KP158" s="1705"/>
      <c r="KQ158" s="1705"/>
      <c r="KR158" s="1705"/>
      <c r="KS158" s="1705"/>
      <c r="KT158" s="1705"/>
      <c r="KU158" s="1705"/>
      <c r="KV158" s="1705"/>
      <c r="KW158" s="1705"/>
      <c r="KX158" s="1705"/>
      <c r="KY158" s="1705"/>
      <c r="KZ158" s="1705"/>
      <c r="LA158" s="1705"/>
      <c r="LB158" s="1705"/>
      <c r="LC158" s="1705"/>
      <c r="LD158" s="1705"/>
      <c r="LE158" s="1705"/>
      <c r="LF158" s="1705"/>
      <c r="LG158" s="450"/>
      <c r="LH158" s="450"/>
      <c r="LI158" s="450"/>
      <c r="LJ158" s="450"/>
      <c r="LK158" s="450"/>
      <c r="LL158" s="450"/>
      <c r="LM158" s="1706"/>
      <c r="LN158" s="450"/>
      <c r="LO158" s="450"/>
      <c r="LP158" s="450"/>
      <c r="LQ158" s="450"/>
      <c r="LR158" s="450"/>
      <c r="LS158" s="450"/>
      <c r="LT158" s="450"/>
      <c r="LU158" s="450"/>
      <c r="LV158" s="450"/>
      <c r="LW158" s="450"/>
      <c r="LX158" s="450"/>
      <c r="LY158" s="450"/>
      <c r="LZ158" s="450"/>
      <c r="MA158" s="450"/>
      <c r="MB158" s="450"/>
      <c r="MC158" s="1706"/>
      <c r="MD158" s="1706"/>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4696</v>
      </c>
      <c r="D159" s="1"/>
      <c r="E159" s="1"/>
      <c r="F159" s="1"/>
      <c r="G159" s="1"/>
      <c r="H159" s="1"/>
      <c r="I159" s="1"/>
      <c r="J159" s="1632" t="str">
        <f>IF(OR(J$67="",J$67=0),"",J$156/J$67)</f>
        <v/>
      </c>
      <c r="K159" s="1632">
        <f>IF(OR(K$67="",K$67=0),"",K$156/K$67)</f>
        <v>710</v>
      </c>
      <c r="L159" s="1632">
        <f>IF(OR(L$67="",L$67=0),"",L$156/L$67)</f>
        <v>950</v>
      </c>
      <c r="M159" s="1632">
        <f>IF(OR(M$67="",M$67=0),"",M$156/M$67)</f>
        <v>1200</v>
      </c>
      <c r="N159" s="1632" t="str">
        <f>IF(OR(N$67="",N$67=0),"",N$156/N$67)</f>
        <v/>
      </c>
      <c r="O159" s="1632"/>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1705"/>
      <c r="JW159" s="450"/>
      <c r="JX159" s="450"/>
      <c r="JY159" s="450"/>
      <c r="JZ159" s="450"/>
      <c r="KA159" s="1705"/>
      <c r="KB159" s="1705"/>
      <c r="KC159" s="1705"/>
      <c r="KD159" s="1705"/>
      <c r="KE159" s="1705"/>
      <c r="KF159" s="1705"/>
      <c r="KG159" s="1705"/>
      <c r="KH159" s="1705"/>
      <c r="KI159" s="1705"/>
      <c r="KJ159" s="1705"/>
      <c r="KK159" s="1705"/>
      <c r="KL159" s="1705"/>
      <c r="KM159" s="1705"/>
      <c r="KN159" s="1705"/>
      <c r="KO159" s="1705"/>
      <c r="KP159" s="1705"/>
      <c r="KQ159" s="1705"/>
      <c r="KR159" s="1705"/>
      <c r="KS159" s="1705"/>
      <c r="KT159" s="1705"/>
      <c r="KU159" s="1705"/>
      <c r="KV159" s="1705"/>
      <c r="KW159" s="1705"/>
      <c r="KX159" s="1705"/>
      <c r="KY159" s="1705"/>
      <c r="KZ159" s="1705"/>
      <c r="LA159" s="1705"/>
      <c r="LB159" s="1705"/>
      <c r="LC159" s="1705"/>
      <c r="LD159" s="1705"/>
      <c r="LE159" s="1705"/>
      <c r="LF159" s="1705"/>
      <c r="LG159" s="450"/>
      <c r="LH159" s="450"/>
      <c r="LI159" s="450"/>
      <c r="LJ159" s="450"/>
      <c r="LK159" s="450"/>
      <c r="LL159" s="450"/>
      <c r="LM159" s="1706"/>
      <c r="LN159" s="450"/>
      <c r="LO159" s="450"/>
      <c r="LP159" s="450"/>
      <c r="LQ159" s="450"/>
      <c r="LR159" s="450"/>
      <c r="LS159" s="450"/>
      <c r="LT159" s="450"/>
      <c r="LU159" s="450"/>
      <c r="LV159" s="450"/>
      <c r="LW159" s="450"/>
      <c r="LX159" s="450"/>
      <c r="LY159" s="450"/>
      <c r="LZ159" s="450"/>
      <c r="MA159" s="450"/>
      <c r="MB159" s="450"/>
      <c r="MC159" s="1706"/>
      <c r="MD159" s="1706"/>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1705"/>
      <c r="JW160" s="450"/>
      <c r="JX160" s="450"/>
      <c r="JY160" s="450"/>
      <c r="JZ160" s="450"/>
      <c r="KA160" s="1705"/>
      <c r="KB160" s="1705"/>
      <c r="KC160" s="1705"/>
      <c r="KD160" s="1705"/>
      <c r="KE160" s="1705"/>
      <c r="KF160" s="1705"/>
      <c r="KG160" s="1705"/>
      <c r="KH160" s="1705"/>
      <c r="KI160" s="1705"/>
      <c r="KJ160" s="1705"/>
      <c r="KK160" s="1705"/>
      <c r="KL160" s="1705"/>
      <c r="KM160" s="1705"/>
      <c r="KN160" s="1705"/>
      <c r="KO160" s="1705"/>
      <c r="KP160" s="1705"/>
      <c r="KQ160" s="1705"/>
      <c r="KR160" s="1705"/>
      <c r="KS160" s="1705"/>
      <c r="KT160" s="1705"/>
      <c r="KU160" s="1705"/>
      <c r="KV160" s="1705"/>
      <c r="KW160" s="1705"/>
      <c r="KX160" s="1705"/>
      <c r="KY160" s="1705"/>
      <c r="KZ160" s="1705"/>
      <c r="LA160" s="1705"/>
      <c r="LB160" s="1705"/>
      <c r="LC160" s="1705"/>
      <c r="LD160" s="1705"/>
      <c r="LE160" s="1705"/>
      <c r="LF160" s="1705"/>
      <c r="LG160" s="450"/>
      <c r="LH160" s="450"/>
      <c r="LI160" s="450"/>
      <c r="LJ160" s="450"/>
      <c r="LK160" s="450"/>
      <c r="LL160" s="450"/>
      <c r="LM160" s="1706"/>
      <c r="LN160" s="450"/>
      <c r="LO160" s="450"/>
      <c r="LP160" s="450"/>
      <c r="LQ160" s="450"/>
      <c r="LR160" s="450"/>
      <c r="LS160" s="450"/>
      <c r="LT160" s="450"/>
      <c r="LU160" s="450"/>
      <c r="LV160" s="450"/>
      <c r="LW160" s="450"/>
      <c r="LX160" s="450"/>
      <c r="LY160" s="450"/>
      <c r="LZ160" s="450"/>
      <c r="MA160" s="450"/>
      <c r="MB160" s="450"/>
      <c r="MC160" s="1706"/>
      <c r="MD160" s="1706"/>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1705"/>
      <c r="JW161" s="450"/>
      <c r="JX161" s="450"/>
      <c r="JY161" s="450"/>
      <c r="JZ161" s="450"/>
      <c r="KA161" s="1705"/>
      <c r="KB161" s="1705"/>
      <c r="KC161" s="1705"/>
      <c r="KD161" s="1705"/>
      <c r="KE161" s="1705"/>
      <c r="KF161" s="1705"/>
      <c r="KG161" s="1705"/>
      <c r="KH161" s="1705"/>
      <c r="KI161" s="1705"/>
      <c r="KJ161" s="1705"/>
      <c r="KK161" s="1705"/>
      <c r="KL161" s="1705"/>
      <c r="KM161" s="1705"/>
      <c r="KN161" s="1705"/>
      <c r="KO161" s="1705"/>
      <c r="KP161" s="1705"/>
      <c r="KQ161" s="1705"/>
      <c r="KR161" s="1705"/>
      <c r="KS161" s="1705"/>
      <c r="KT161" s="1705"/>
      <c r="KU161" s="1705"/>
      <c r="KV161" s="1705"/>
      <c r="KW161" s="1705"/>
      <c r="KX161" s="1705"/>
      <c r="KY161" s="1705"/>
      <c r="KZ161" s="1705"/>
      <c r="LA161" s="1705"/>
      <c r="LB161" s="1705"/>
      <c r="LC161" s="1705"/>
      <c r="LD161" s="1705"/>
      <c r="LE161" s="1705"/>
      <c r="LF161" s="1705"/>
      <c r="LG161" s="450"/>
      <c r="LH161" s="450"/>
      <c r="LI161" s="450"/>
      <c r="LJ161" s="450"/>
      <c r="LK161" s="450"/>
      <c r="LL161" s="450"/>
      <c r="LM161" s="1706"/>
      <c r="LN161" s="450"/>
      <c r="LO161" s="450"/>
      <c r="LP161" s="450"/>
      <c r="LQ161" s="450"/>
      <c r="LR161" s="450"/>
      <c r="LS161" s="450"/>
      <c r="LT161" s="450"/>
      <c r="LU161" s="450"/>
      <c r="LV161" s="450"/>
      <c r="LW161" s="450"/>
      <c r="LX161" s="450"/>
      <c r="LY161" s="450"/>
      <c r="LZ161" s="450"/>
      <c r="MA161" s="450"/>
      <c r="MB161" s="450"/>
      <c r="MC161" s="1706"/>
      <c r="MD161" s="1706"/>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1705"/>
      <c r="JW162" s="450"/>
      <c r="JX162" s="450"/>
      <c r="JY162" s="450"/>
      <c r="JZ162" s="450"/>
      <c r="KA162" s="1705"/>
      <c r="KB162" s="1705"/>
      <c r="KC162" s="1705"/>
      <c r="KD162" s="1705"/>
      <c r="KE162" s="1705"/>
      <c r="KF162" s="1705"/>
      <c r="KG162" s="1705"/>
      <c r="KH162" s="1705"/>
      <c r="KI162" s="1705"/>
      <c r="KJ162" s="1705"/>
      <c r="KK162" s="1705"/>
      <c r="KL162" s="1705"/>
      <c r="KM162" s="1705"/>
      <c r="KN162" s="1705"/>
      <c r="KO162" s="1705"/>
      <c r="KP162" s="1705"/>
      <c r="KQ162" s="1705"/>
      <c r="KR162" s="1705"/>
      <c r="KS162" s="1705"/>
      <c r="KT162" s="1705"/>
      <c r="KU162" s="1705"/>
      <c r="KV162" s="1705"/>
      <c r="KW162" s="1705"/>
      <c r="KX162" s="1705"/>
      <c r="KY162" s="1705"/>
      <c r="KZ162" s="1705"/>
      <c r="LA162" s="1705"/>
      <c r="LB162" s="1705"/>
      <c r="LC162" s="1705"/>
      <c r="LD162" s="1705"/>
      <c r="LE162" s="1705"/>
      <c r="LF162" s="1705"/>
      <c r="LG162" s="450"/>
      <c r="LH162" s="450"/>
      <c r="LI162" s="450"/>
      <c r="LJ162" s="450"/>
      <c r="LK162" s="450"/>
      <c r="LL162" s="450"/>
      <c r="LM162" s="1706"/>
      <c r="LN162" s="450"/>
      <c r="LO162" s="450"/>
      <c r="LP162" s="450"/>
      <c r="LQ162" s="450"/>
      <c r="LR162" s="450"/>
      <c r="LS162" s="450"/>
      <c r="LT162" s="450"/>
      <c r="LU162" s="450"/>
      <c r="LV162" s="450"/>
      <c r="LW162" s="450"/>
      <c r="LX162" s="450"/>
      <c r="LY162" s="450"/>
      <c r="LZ162" s="450"/>
      <c r="MA162" s="450"/>
      <c r="MB162" s="450"/>
      <c r="MC162" s="1706"/>
      <c r="MD162" s="1706"/>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1747"/>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1705"/>
      <c r="JW163" s="450"/>
      <c r="JX163" s="450"/>
      <c r="JY163" s="450"/>
      <c r="JZ163" s="450"/>
      <c r="KA163" s="1705"/>
      <c r="KB163" s="1705"/>
      <c r="KC163" s="1705"/>
      <c r="KD163" s="1705"/>
      <c r="KE163" s="1705"/>
      <c r="KF163" s="1705"/>
      <c r="KG163" s="1705"/>
      <c r="KH163" s="1705"/>
      <c r="KI163" s="1705"/>
      <c r="KJ163" s="1705"/>
      <c r="KK163" s="1705"/>
      <c r="KL163" s="1705"/>
      <c r="KM163" s="1705"/>
      <c r="KN163" s="1705"/>
      <c r="KO163" s="1705"/>
      <c r="KP163" s="1705"/>
      <c r="KQ163" s="1705"/>
      <c r="KR163" s="1705"/>
      <c r="KS163" s="1705"/>
      <c r="KT163" s="1705"/>
      <c r="KU163" s="1705"/>
      <c r="KV163" s="1705"/>
      <c r="KW163" s="1705"/>
      <c r="KX163" s="1705"/>
      <c r="KY163" s="1705"/>
      <c r="KZ163" s="1705"/>
      <c r="LA163" s="1705"/>
      <c r="LB163" s="1705"/>
      <c r="LC163" s="1705"/>
      <c r="LD163" s="1705"/>
      <c r="LE163" s="1705"/>
      <c r="LF163" s="1705"/>
      <c r="LG163" s="450"/>
      <c r="LH163" s="450"/>
      <c r="LI163" s="450"/>
      <c r="LJ163" s="450"/>
      <c r="LK163" s="450"/>
      <c r="LL163" s="450"/>
      <c r="LM163" s="1706"/>
      <c r="LN163" s="450"/>
      <c r="LO163" s="450"/>
      <c r="LP163" s="450"/>
      <c r="LQ163" s="450"/>
      <c r="LR163" s="450"/>
      <c r="LS163" s="450"/>
      <c r="LT163" s="450"/>
      <c r="LU163" s="450"/>
      <c r="LV163" s="450"/>
      <c r="LW163" s="450"/>
      <c r="LX163" s="450"/>
      <c r="LY163" s="450"/>
      <c r="LZ163" s="450"/>
      <c r="MA163" s="450"/>
      <c r="MB163" s="450"/>
      <c r="MC163" s="1706"/>
      <c r="MD163" s="1706"/>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1705"/>
      <c r="JW164" s="450"/>
      <c r="JX164" s="450"/>
      <c r="JY164" s="450"/>
      <c r="JZ164" s="450"/>
      <c r="KA164" s="1705"/>
      <c r="KB164" s="1705"/>
      <c r="KC164" s="1705"/>
      <c r="KD164" s="1705"/>
      <c r="KE164" s="1705"/>
      <c r="KF164" s="1705"/>
      <c r="KG164" s="1705"/>
      <c r="KH164" s="1705"/>
      <c r="KI164" s="1705"/>
      <c r="KJ164" s="1705"/>
      <c r="KK164" s="1705"/>
      <c r="KL164" s="1705"/>
      <c r="KM164" s="1705"/>
      <c r="KN164" s="1705"/>
      <c r="KO164" s="1705"/>
      <c r="KP164" s="1705"/>
      <c r="KQ164" s="1705"/>
      <c r="KR164" s="1705"/>
      <c r="KS164" s="1705"/>
      <c r="KT164" s="1705"/>
      <c r="KU164" s="1705"/>
      <c r="KV164" s="1705"/>
      <c r="KW164" s="1705"/>
      <c r="KX164" s="1705"/>
      <c r="KY164" s="1705"/>
      <c r="KZ164" s="1705"/>
      <c r="LA164" s="1705"/>
      <c r="LB164" s="1705"/>
      <c r="LC164" s="1705"/>
      <c r="LD164" s="1705"/>
      <c r="LE164" s="1705"/>
      <c r="LF164" s="1705"/>
      <c r="LG164" s="450"/>
      <c r="LH164" s="450"/>
      <c r="LI164" s="450"/>
      <c r="LJ164" s="450"/>
      <c r="LK164" s="450"/>
      <c r="LL164" s="450"/>
      <c r="LM164" s="1706"/>
      <c r="LN164" s="450"/>
      <c r="LO164" s="450"/>
      <c r="LP164" s="450"/>
      <c r="LQ164" s="450"/>
      <c r="LR164" s="450"/>
      <c r="LS164" s="450"/>
      <c r="LT164" s="450"/>
      <c r="LU164" s="450"/>
      <c r="LV164" s="450"/>
      <c r="LW164" s="450"/>
      <c r="LX164" s="450"/>
      <c r="LY164" s="450"/>
      <c r="LZ164" s="450"/>
      <c r="MA164" s="450"/>
      <c r="MB164" s="450"/>
      <c r="MC164" s="1706"/>
      <c r="MD164" s="1706"/>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1705"/>
      <c r="JW169" s="450"/>
      <c r="JX169" s="450"/>
      <c r="JY169" s="450"/>
      <c r="JZ169" s="450"/>
      <c r="KA169" s="1705"/>
      <c r="KB169" s="1705"/>
      <c r="KC169" s="1705"/>
      <c r="KD169" s="1705"/>
      <c r="KE169" s="1705"/>
      <c r="KF169" s="1705"/>
      <c r="KG169" s="1705"/>
      <c r="KH169" s="1705"/>
      <c r="KI169" s="1705"/>
      <c r="KJ169" s="1705"/>
      <c r="KK169" s="1705"/>
      <c r="KL169" s="1705"/>
      <c r="KM169" s="1705"/>
      <c r="KN169" s="1705"/>
      <c r="KO169" s="1705"/>
      <c r="KP169" s="1705"/>
      <c r="KQ169" s="1705"/>
      <c r="KR169" s="1705"/>
      <c r="KS169" s="1705"/>
      <c r="KT169" s="1705"/>
      <c r="KU169" s="1705"/>
      <c r="KV169" s="1705"/>
      <c r="KW169" s="1705"/>
      <c r="KX169" s="1705"/>
      <c r="KY169" s="1705"/>
      <c r="KZ169" s="1705"/>
      <c r="LA169" s="1705"/>
      <c r="LB169" s="1705"/>
      <c r="LC169" s="1705"/>
      <c r="LD169" s="1705"/>
      <c r="LE169" s="1705"/>
      <c r="LF169" s="1705"/>
      <c r="LG169" s="450"/>
      <c r="LH169" s="450"/>
      <c r="LI169" s="450"/>
      <c r="LJ169" s="450"/>
      <c r="LK169" s="450"/>
      <c r="LL169" s="450"/>
      <c r="LM169" s="1706"/>
      <c r="LN169" s="450"/>
      <c r="LO169" s="450"/>
      <c r="LP169" s="450"/>
      <c r="LQ169" s="450"/>
      <c r="LR169" s="450"/>
      <c r="LS169" s="450"/>
      <c r="LT169" s="450"/>
      <c r="LU169" s="450"/>
      <c r="LV169" s="450"/>
      <c r="LW169" s="450"/>
      <c r="LX169" s="450"/>
      <c r="LY169" s="450"/>
      <c r="LZ169" s="450"/>
      <c r="MA169" s="450"/>
      <c r="MB169" s="450"/>
      <c r="MC169" s="1706"/>
      <c r="MD169" s="1706"/>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1705"/>
      <c r="JW170" s="450"/>
      <c r="JX170" s="450"/>
      <c r="JY170" s="450"/>
      <c r="JZ170" s="450"/>
      <c r="KA170" s="1705"/>
      <c r="KB170" s="1705"/>
      <c r="KC170" s="1705"/>
      <c r="KD170" s="1705"/>
      <c r="KE170" s="1705"/>
      <c r="KF170" s="1705"/>
      <c r="KG170" s="1705"/>
      <c r="KH170" s="1705"/>
      <c r="KI170" s="1705"/>
      <c r="KJ170" s="1705"/>
      <c r="KK170" s="1705"/>
      <c r="KL170" s="1705"/>
      <c r="KM170" s="1705"/>
      <c r="KN170" s="1705"/>
      <c r="KO170" s="1705"/>
      <c r="KP170" s="1705"/>
      <c r="KQ170" s="1705"/>
      <c r="KR170" s="1705"/>
      <c r="KS170" s="1705"/>
      <c r="KT170" s="1705"/>
      <c r="KU170" s="1705"/>
      <c r="KV170" s="1705"/>
      <c r="KW170" s="1705"/>
      <c r="KX170" s="1705"/>
      <c r="KY170" s="1705"/>
      <c r="KZ170" s="1705"/>
      <c r="LA170" s="1705"/>
      <c r="LB170" s="1705"/>
      <c r="LC170" s="1705"/>
      <c r="LD170" s="1705"/>
      <c r="LE170" s="1705"/>
      <c r="LF170" s="1705"/>
      <c r="LG170" s="450"/>
      <c r="LH170" s="450"/>
      <c r="LI170" s="450"/>
      <c r="LJ170" s="450"/>
      <c r="LK170" s="450"/>
      <c r="LL170" s="450"/>
      <c r="LM170" s="1706"/>
      <c r="LN170" s="450"/>
      <c r="LO170" s="450"/>
      <c r="LP170" s="450"/>
      <c r="LQ170" s="450"/>
      <c r="LR170" s="450"/>
      <c r="LS170" s="450"/>
      <c r="LT170" s="450"/>
      <c r="LU170" s="450"/>
      <c r="LV170" s="450"/>
      <c r="LW170" s="450"/>
      <c r="LX170" s="450"/>
      <c r="LY170" s="450"/>
      <c r="LZ170" s="450"/>
      <c r="MA170" s="450"/>
      <c r="MB170" s="450"/>
      <c r="MC170" s="1706"/>
      <c r="MD170" s="1706"/>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731</v>
      </c>
      <c r="B171" s="12" t="s">
        <v>222</v>
      </c>
      <c r="P171" s="7"/>
      <c r="Q171" s="7"/>
      <c r="R171" s="12" t="s">
        <v>1820</v>
      </c>
      <c r="T171" s="408"/>
      <c r="JV171" s="448"/>
      <c r="KA171" s="448"/>
      <c r="LG171" s="453"/>
      <c r="LM171" s="448"/>
      <c r="LN171" s="456"/>
      <c r="MC171" s="448"/>
      <c r="ME171" s="456"/>
    </row>
    <row r="172" spans="1:492" ht="2.25" customHeight="1">
      <c r="P172" s="408"/>
      <c r="Q172" s="408"/>
    </row>
    <row r="173" spans="1:492" ht="11.25" customHeight="1">
      <c r="B173" s="914" t="s">
        <v>1003</v>
      </c>
      <c r="C173" s="89"/>
      <c r="D173" s="110"/>
      <c r="E173" s="89"/>
      <c r="F173" s="89"/>
      <c r="G173" s="89"/>
      <c r="H173" s="3213">
        <f>'Part VII-Pro Forma'!B9*L49</f>
        <v>15370.08</v>
      </c>
      <c r="I173" s="3214"/>
      <c r="J173" s="89"/>
      <c r="K173" s="487" t="s">
        <v>2698</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1429</v>
      </c>
      <c r="C175" s="89"/>
      <c r="D175" s="89"/>
      <c r="E175" s="89"/>
      <c r="F175" s="89"/>
      <c r="G175" s="89"/>
      <c r="H175" s="89"/>
      <c r="I175" s="914"/>
      <c r="J175" s="89"/>
      <c r="K175" s="917"/>
      <c r="L175" s="89"/>
      <c r="M175" s="89"/>
      <c r="N175" s="89"/>
      <c r="O175" s="89"/>
      <c r="P175" s="111"/>
      <c r="R175" s="1747" t="str">
        <f>B175</f>
        <v>Other Income (OI) by Year:</v>
      </c>
    </row>
    <row r="176" spans="1:492" ht="11.25" customHeight="1">
      <c r="B176" s="918" t="s">
        <v>2257</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1004</v>
      </c>
      <c r="C177" s="110"/>
      <c r="D177" s="110"/>
      <c r="E177" s="110"/>
      <c r="F177" s="110"/>
      <c r="G177" s="2418"/>
      <c r="H177" s="2418"/>
      <c r="I177" s="2418"/>
      <c r="J177" s="2418"/>
      <c r="K177" s="2418"/>
      <c r="L177" s="2418"/>
      <c r="M177" s="2418"/>
      <c r="N177" s="2418"/>
      <c r="O177" s="2418"/>
      <c r="P177" s="2418"/>
      <c r="Q177" s="873"/>
      <c r="R177" s="3155"/>
      <c r="S177" s="3156"/>
      <c r="T177" s="3156"/>
      <c r="U177" s="3156"/>
      <c r="V177" s="3157"/>
    </row>
    <row r="178" spans="2:22" ht="13.5" customHeight="1">
      <c r="B178" s="110" t="s">
        <v>730</v>
      </c>
      <c r="C178" s="3206"/>
      <c r="D178" s="3207"/>
      <c r="E178" s="3207"/>
      <c r="F178" s="3208"/>
      <c r="G178" s="2419"/>
      <c r="H178" s="2419"/>
      <c r="I178" s="2419"/>
      <c r="J178" s="2419"/>
      <c r="K178" s="2420"/>
      <c r="L178" s="2419"/>
      <c r="M178" s="2419"/>
      <c r="N178" s="2419"/>
      <c r="O178" s="2419"/>
      <c r="P178" s="2419"/>
      <c r="Q178" s="873"/>
      <c r="R178" s="3160"/>
      <c r="S178" s="3161"/>
      <c r="T178" s="3161"/>
      <c r="U178" s="3161"/>
      <c r="V178" s="3162"/>
    </row>
    <row r="179" spans="2:22" ht="13.5" customHeight="1">
      <c r="B179" s="110"/>
      <c r="C179" s="110" t="s">
        <v>915</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164"/>
      <c r="S179" s="3165"/>
      <c r="T179" s="3165"/>
      <c r="U179" s="3165"/>
      <c r="V179" s="3166"/>
    </row>
    <row r="180" spans="2:22" ht="13.5" customHeight="1">
      <c r="B180" s="922" t="s">
        <v>3572</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525</v>
      </c>
      <c r="C181" s="110"/>
      <c r="D181" s="110"/>
      <c r="E181" s="110"/>
      <c r="F181" s="110"/>
      <c r="G181" s="2418"/>
      <c r="H181" s="2418"/>
      <c r="I181" s="2418"/>
      <c r="J181" s="2418"/>
      <c r="K181" s="2418"/>
      <c r="L181" s="2418"/>
      <c r="M181" s="2418"/>
      <c r="N181" s="2418"/>
      <c r="O181" s="2418"/>
      <c r="P181" s="2418"/>
      <c r="Q181" s="873"/>
      <c r="R181" s="3155"/>
      <c r="S181" s="3156"/>
      <c r="T181" s="3156"/>
      <c r="U181" s="3156"/>
      <c r="V181" s="3157"/>
    </row>
    <row r="182" spans="2:22" ht="13.5" customHeight="1">
      <c r="B182" s="110" t="s">
        <v>730</v>
      </c>
      <c r="C182" s="3206"/>
      <c r="D182" s="3207"/>
      <c r="E182" s="3207"/>
      <c r="F182" s="3208"/>
      <c r="G182" s="2419"/>
      <c r="H182" s="2419"/>
      <c r="I182" s="2419"/>
      <c r="J182" s="2419"/>
      <c r="K182" s="2420"/>
      <c r="L182" s="2419"/>
      <c r="M182" s="2419"/>
      <c r="N182" s="2419"/>
      <c r="O182" s="2419"/>
      <c r="P182" s="2419"/>
      <c r="Q182" s="873"/>
      <c r="R182" s="3160"/>
      <c r="S182" s="3161"/>
      <c r="T182" s="3161"/>
      <c r="U182" s="3161"/>
      <c r="V182" s="3162"/>
    </row>
    <row r="183" spans="2:22" ht="13.5" customHeight="1">
      <c r="B183" s="110"/>
      <c r="C183" s="110" t="s">
        <v>190</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164"/>
      <c r="S183" s="3165"/>
      <c r="T183" s="3165"/>
      <c r="U183" s="3165"/>
      <c r="V183" s="3166"/>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2257</v>
      </c>
      <c r="C185" s="89"/>
      <c r="D185" s="89"/>
      <c r="E185" s="89"/>
      <c r="F185" s="89"/>
      <c r="G185" s="919">
        <v>11</v>
      </c>
      <c r="H185" s="919">
        <v>12</v>
      </c>
      <c r="I185" s="919">
        <v>13</v>
      </c>
      <c r="J185" s="919">
        <v>14</v>
      </c>
      <c r="K185" s="919">
        <v>15</v>
      </c>
      <c r="L185" s="919">
        <v>16</v>
      </c>
      <c r="M185" s="919">
        <v>17</v>
      </c>
      <c r="N185" s="919">
        <v>18</v>
      </c>
      <c r="O185" s="919">
        <v>19</v>
      </c>
      <c r="P185" s="919">
        <v>20</v>
      </c>
      <c r="R185" s="138" t="s">
        <v>2588</v>
      </c>
      <c r="S185" s="94" t="str">
        <f>B185</f>
        <v>Included in Mgt Fee:</v>
      </c>
    </row>
    <row r="186" spans="2:22" ht="13.5" customHeight="1">
      <c r="B186" s="110" t="s">
        <v>1004</v>
      </c>
      <c r="C186" s="110"/>
      <c r="D186" s="110"/>
      <c r="E186" s="110"/>
      <c r="F186" s="110"/>
      <c r="G186" s="2418"/>
      <c r="H186" s="2418"/>
      <c r="I186" s="2418"/>
      <c r="J186" s="2418"/>
      <c r="K186" s="2421"/>
      <c r="L186" s="2418"/>
      <c r="M186" s="2418"/>
      <c r="N186" s="2418"/>
      <c r="O186" s="2418"/>
      <c r="P186" s="2418"/>
      <c r="Q186" s="873"/>
      <c r="R186" s="3155"/>
      <c r="S186" s="3156"/>
      <c r="T186" s="3156"/>
      <c r="U186" s="3156"/>
      <c r="V186" s="3157"/>
    </row>
    <row r="187" spans="2:22" ht="13.5" customHeight="1">
      <c r="B187" s="110" t="s">
        <v>730</v>
      </c>
      <c r="C187" s="3206"/>
      <c r="D187" s="3207"/>
      <c r="E187" s="3207"/>
      <c r="F187" s="3208"/>
      <c r="G187" s="2419"/>
      <c r="H187" s="2419"/>
      <c r="I187" s="2419"/>
      <c r="J187" s="2419"/>
      <c r="K187" s="2420"/>
      <c r="L187" s="2419"/>
      <c r="M187" s="2419"/>
      <c r="N187" s="2419"/>
      <c r="O187" s="2419"/>
      <c r="P187" s="2419"/>
      <c r="Q187" s="873"/>
      <c r="R187" s="3160"/>
      <c r="S187" s="3161"/>
      <c r="T187" s="3161"/>
      <c r="U187" s="3161"/>
      <c r="V187" s="3162"/>
    </row>
    <row r="188" spans="2:22" ht="13.5" customHeight="1">
      <c r="B188" s="110"/>
      <c r="C188" s="110" t="s">
        <v>915</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164"/>
      <c r="S188" s="3165"/>
      <c r="T188" s="3165"/>
      <c r="U188" s="3165"/>
      <c r="V188" s="3166"/>
    </row>
    <row r="189" spans="2:22" ht="13.5" customHeight="1">
      <c r="B189" s="922" t="s">
        <v>3572</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525</v>
      </c>
      <c r="C190" s="110"/>
      <c r="D190" s="110"/>
      <c r="E190" s="110"/>
      <c r="F190" s="110"/>
      <c r="G190" s="2418"/>
      <c r="H190" s="2418"/>
      <c r="I190" s="2418"/>
      <c r="J190" s="2418"/>
      <c r="K190" s="2421"/>
      <c r="L190" s="2418"/>
      <c r="M190" s="2418"/>
      <c r="N190" s="2418"/>
      <c r="O190" s="2418"/>
      <c r="P190" s="2418"/>
      <c r="Q190" s="873"/>
      <c r="R190" s="3155"/>
      <c r="S190" s="3156"/>
      <c r="T190" s="3156"/>
      <c r="U190" s="3156"/>
      <c r="V190" s="3157"/>
    </row>
    <row r="191" spans="2:22" ht="13.5" customHeight="1">
      <c r="B191" s="110" t="s">
        <v>730</v>
      </c>
      <c r="C191" s="3206"/>
      <c r="D191" s="3207"/>
      <c r="E191" s="3207"/>
      <c r="F191" s="3208"/>
      <c r="G191" s="2419"/>
      <c r="H191" s="2419"/>
      <c r="I191" s="2419"/>
      <c r="J191" s="2419"/>
      <c r="K191" s="2420"/>
      <c r="L191" s="2419"/>
      <c r="M191" s="2419"/>
      <c r="N191" s="2419"/>
      <c r="O191" s="2419"/>
      <c r="P191" s="2419"/>
      <c r="Q191" s="873"/>
      <c r="R191" s="3160"/>
      <c r="S191" s="3161"/>
      <c r="T191" s="3161"/>
      <c r="U191" s="3161"/>
      <c r="V191" s="3162"/>
    </row>
    <row r="192" spans="2:22" ht="13.5" customHeight="1">
      <c r="B192" s="110"/>
      <c r="C192" s="110" t="s">
        <v>190</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164"/>
      <c r="S192" s="3165"/>
      <c r="T192" s="3165"/>
      <c r="U192" s="3165"/>
      <c r="V192" s="3166"/>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2257</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2589</v>
      </c>
      <c r="S194" s="94" t="str">
        <f>B194</f>
        <v>Included in Mgt Fee:</v>
      </c>
    </row>
    <row r="195" spans="2:22" ht="13.5" customHeight="1">
      <c r="B195" s="110" t="s">
        <v>1004</v>
      </c>
      <c r="C195" s="110"/>
      <c r="D195" s="110"/>
      <c r="E195" s="110"/>
      <c r="F195" s="110"/>
      <c r="G195" s="2418"/>
      <c r="H195" s="2418"/>
      <c r="I195" s="2418"/>
      <c r="J195" s="2418"/>
      <c r="K195" s="2421"/>
      <c r="L195" s="2418"/>
      <c r="M195" s="2418"/>
      <c r="N195" s="2418"/>
      <c r="O195" s="2418"/>
      <c r="P195" s="2418"/>
      <c r="Q195" s="873"/>
      <c r="R195" s="3155"/>
      <c r="S195" s="3156"/>
      <c r="T195" s="3156"/>
      <c r="U195" s="3156"/>
      <c r="V195" s="3157"/>
    </row>
    <row r="196" spans="2:22" ht="13.5" customHeight="1">
      <c r="B196" s="110" t="s">
        <v>730</v>
      </c>
      <c r="C196" s="3206"/>
      <c r="D196" s="3207"/>
      <c r="E196" s="3207"/>
      <c r="F196" s="3208"/>
      <c r="G196" s="2419"/>
      <c r="H196" s="2419"/>
      <c r="I196" s="2419"/>
      <c r="J196" s="2419"/>
      <c r="K196" s="2420"/>
      <c r="L196" s="2419"/>
      <c r="M196" s="2419"/>
      <c r="N196" s="2419"/>
      <c r="O196" s="2419"/>
      <c r="P196" s="2419"/>
      <c r="Q196" s="873"/>
      <c r="R196" s="3160"/>
      <c r="S196" s="3161"/>
      <c r="T196" s="3161"/>
      <c r="U196" s="3161"/>
      <c r="V196" s="3162"/>
    </row>
    <row r="197" spans="2:22" ht="13.5" customHeight="1">
      <c r="B197" s="110"/>
      <c r="C197" s="110" t="s">
        <v>915</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164"/>
      <c r="S197" s="3165"/>
      <c r="T197" s="3165"/>
      <c r="U197" s="3165"/>
      <c r="V197" s="3166"/>
    </row>
    <row r="198" spans="2:22" ht="13.5" customHeight="1">
      <c r="B198" s="922" t="s">
        <v>3572</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525</v>
      </c>
      <c r="C199" s="110"/>
      <c r="D199" s="110"/>
      <c r="E199" s="110"/>
      <c r="F199" s="110"/>
      <c r="G199" s="2418"/>
      <c r="H199" s="2418"/>
      <c r="I199" s="2418"/>
      <c r="J199" s="2418"/>
      <c r="K199" s="2421"/>
      <c r="L199" s="2418"/>
      <c r="M199" s="2418"/>
      <c r="N199" s="2418"/>
      <c r="O199" s="2418"/>
      <c r="P199" s="2418"/>
      <c r="Q199" s="873"/>
      <c r="R199" s="3155"/>
      <c r="S199" s="3156"/>
      <c r="T199" s="3156"/>
      <c r="U199" s="3156"/>
      <c r="V199" s="3157"/>
    </row>
    <row r="200" spans="2:22" ht="13.5" customHeight="1">
      <c r="B200" s="110" t="s">
        <v>730</v>
      </c>
      <c r="C200" s="3206"/>
      <c r="D200" s="3207"/>
      <c r="E200" s="3207"/>
      <c r="F200" s="3208"/>
      <c r="G200" s="2419"/>
      <c r="H200" s="2419"/>
      <c r="I200" s="2419"/>
      <c r="J200" s="2419"/>
      <c r="K200" s="2420"/>
      <c r="L200" s="2419"/>
      <c r="M200" s="2419"/>
      <c r="N200" s="2419"/>
      <c r="O200" s="2419"/>
      <c r="P200" s="2419"/>
      <c r="Q200" s="873"/>
      <c r="R200" s="3160"/>
      <c r="S200" s="3161"/>
      <c r="T200" s="3161"/>
      <c r="U200" s="3161"/>
      <c r="V200" s="3162"/>
    </row>
    <row r="201" spans="2:22" ht="13.5" customHeight="1">
      <c r="B201" s="110"/>
      <c r="C201" s="110" t="s">
        <v>190</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164"/>
      <c r="S201" s="3165"/>
      <c r="T201" s="3165"/>
      <c r="U201" s="3165"/>
      <c r="V201" s="3166"/>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2257</v>
      </c>
      <c r="C203" s="89"/>
      <c r="D203" s="89"/>
      <c r="E203" s="89"/>
      <c r="F203" s="89"/>
      <c r="G203" s="919">
        <v>31</v>
      </c>
      <c r="H203" s="919">
        <v>32</v>
      </c>
      <c r="I203" s="919">
        <v>33</v>
      </c>
      <c r="J203" s="919">
        <v>34</v>
      </c>
      <c r="K203" s="919">
        <v>35</v>
      </c>
      <c r="L203" s="89"/>
      <c r="M203" s="89"/>
      <c r="N203" s="89"/>
      <c r="O203" s="89"/>
      <c r="P203" s="89"/>
      <c r="R203" s="138" t="s">
        <v>2589</v>
      </c>
      <c r="S203" s="94" t="str">
        <f>B203</f>
        <v>Included in Mgt Fee:</v>
      </c>
    </row>
    <row r="204" spans="2:22" ht="13.5" customHeight="1">
      <c r="B204" s="110" t="s">
        <v>1004</v>
      </c>
      <c r="C204" s="110"/>
      <c r="D204" s="110"/>
      <c r="E204" s="110"/>
      <c r="F204" s="110"/>
      <c r="G204" s="2418"/>
      <c r="H204" s="2418"/>
      <c r="I204" s="2418"/>
      <c r="J204" s="2418"/>
      <c r="K204" s="2421"/>
      <c r="L204" s="89"/>
      <c r="M204" s="89"/>
      <c r="N204" s="89"/>
      <c r="O204" s="89"/>
      <c r="P204" s="89"/>
      <c r="Q204" s="7"/>
      <c r="R204" s="3155"/>
      <c r="S204" s="3156"/>
      <c r="T204" s="3156"/>
      <c r="U204" s="3156"/>
      <c r="V204" s="3157"/>
    </row>
    <row r="205" spans="2:22" ht="13.5" customHeight="1">
      <c r="B205" s="110" t="s">
        <v>730</v>
      </c>
      <c r="C205" s="3206"/>
      <c r="D205" s="3207"/>
      <c r="E205" s="3207"/>
      <c r="F205" s="3208"/>
      <c r="G205" s="2419"/>
      <c r="H205" s="2419"/>
      <c r="I205" s="2419"/>
      <c r="J205" s="2419"/>
      <c r="K205" s="2420"/>
      <c r="L205" s="89"/>
      <c r="M205" s="89"/>
      <c r="N205" s="89"/>
      <c r="O205" s="89"/>
      <c r="P205" s="89"/>
      <c r="Q205" s="7"/>
      <c r="R205" s="3160"/>
      <c r="S205" s="3161"/>
      <c r="T205" s="3161"/>
      <c r="U205" s="3161"/>
      <c r="V205" s="3162"/>
    </row>
    <row r="206" spans="2:22" ht="13.5" customHeight="1">
      <c r="B206" s="110"/>
      <c r="C206" s="110" t="s">
        <v>915</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164"/>
      <c r="S206" s="3165"/>
      <c r="T206" s="3165"/>
      <c r="U206" s="3165"/>
      <c r="V206" s="3166"/>
    </row>
    <row r="207" spans="2:22" ht="13.5" customHeight="1">
      <c r="B207" s="922" t="s">
        <v>3572</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525</v>
      </c>
      <c r="C208" s="110"/>
      <c r="D208" s="110"/>
      <c r="E208" s="110"/>
      <c r="F208" s="110"/>
      <c r="G208" s="2418"/>
      <c r="H208" s="2418"/>
      <c r="I208" s="2418"/>
      <c r="J208" s="2418"/>
      <c r="K208" s="2421"/>
      <c r="L208" s="89"/>
      <c r="M208" s="89"/>
      <c r="N208" s="89"/>
      <c r="O208" s="89"/>
      <c r="P208" s="89"/>
      <c r="Q208" s="7"/>
      <c r="R208" s="3155"/>
      <c r="S208" s="3156"/>
      <c r="T208" s="3156"/>
      <c r="U208" s="3156"/>
      <c r="V208" s="3157"/>
    </row>
    <row r="209" spans="1:492" ht="13.5" customHeight="1">
      <c r="B209" s="110" t="s">
        <v>730</v>
      </c>
      <c r="C209" s="3206"/>
      <c r="D209" s="3207"/>
      <c r="E209" s="3207"/>
      <c r="F209" s="3208"/>
      <c r="G209" s="2419"/>
      <c r="H209" s="2419"/>
      <c r="I209" s="2419"/>
      <c r="J209" s="2419"/>
      <c r="K209" s="2420"/>
      <c r="L209" s="89"/>
      <c r="M209" s="89"/>
      <c r="N209" s="89"/>
      <c r="O209" s="89"/>
      <c r="P209" s="89"/>
      <c r="Q209" s="7"/>
      <c r="R209" s="3160"/>
      <c r="S209" s="3161"/>
      <c r="T209" s="3161"/>
      <c r="U209" s="3161"/>
      <c r="V209" s="3162"/>
    </row>
    <row r="210" spans="1:492" ht="13.5" customHeight="1">
      <c r="B210" s="110"/>
      <c r="C210" s="110" t="s">
        <v>190</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164"/>
      <c r="S210" s="3165"/>
      <c r="T210" s="3165"/>
      <c r="U210" s="3165"/>
      <c r="V210" s="3166"/>
    </row>
    <row r="211" spans="1:492" ht="2.25" customHeight="1">
      <c r="B211" s="12"/>
      <c r="F211" s="33"/>
      <c r="G211" s="33"/>
      <c r="J211" s="15"/>
      <c r="P211" s="7"/>
      <c r="Q211" s="7"/>
    </row>
    <row r="212" spans="1:492" s="90" customFormat="1" ht="11.25" customHeight="1">
      <c r="A212" s="3" t="s">
        <v>1770</v>
      </c>
      <c r="B212" s="1749" t="s">
        <v>1006</v>
      </c>
      <c r="C212" s="1749"/>
      <c r="D212" s="1749"/>
      <c r="E212" s="1749"/>
      <c r="F212" s="1749"/>
      <c r="G212" s="1749"/>
      <c r="H212" s="1749"/>
      <c r="I212" s="1749"/>
      <c r="J212" s="1749"/>
      <c r="K212" s="1749"/>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1705"/>
      <c r="JW212" s="450"/>
      <c r="JX212" s="450"/>
      <c r="JY212" s="450"/>
      <c r="JZ212" s="450"/>
      <c r="KA212" s="1705"/>
      <c r="KB212" s="1705"/>
      <c r="KC212" s="1705"/>
      <c r="KD212" s="1705"/>
      <c r="KE212" s="1705"/>
      <c r="KF212" s="1705"/>
      <c r="KG212" s="1705"/>
      <c r="KH212" s="1705"/>
      <c r="KI212" s="1705"/>
      <c r="KJ212" s="1705"/>
      <c r="KK212" s="1705"/>
      <c r="KL212" s="1705"/>
      <c r="KM212" s="1705"/>
      <c r="KN212" s="1705"/>
      <c r="KO212" s="1705"/>
      <c r="KP212" s="1705"/>
      <c r="KQ212" s="1705"/>
      <c r="KR212" s="1705"/>
      <c r="KS212" s="1705"/>
      <c r="KT212" s="1705"/>
      <c r="KU212" s="1705"/>
      <c r="KV212" s="1705"/>
      <c r="KW212" s="1705"/>
      <c r="KX212" s="1705"/>
      <c r="KY212" s="1705"/>
      <c r="KZ212" s="1705"/>
      <c r="LA212" s="1705"/>
      <c r="LB212" s="1705"/>
      <c r="LC212" s="1705"/>
      <c r="LD212" s="1705"/>
      <c r="LE212" s="1705"/>
      <c r="LF212" s="1705"/>
      <c r="LG212" s="450"/>
      <c r="LH212" s="450"/>
      <c r="LI212" s="450"/>
      <c r="LJ212" s="450"/>
      <c r="LK212" s="450"/>
      <c r="LL212" s="450"/>
      <c r="LM212" s="1706"/>
      <c r="LN212" s="450"/>
      <c r="LO212" s="450"/>
      <c r="LP212" s="450"/>
      <c r="LQ212" s="450"/>
      <c r="LR212" s="450"/>
      <c r="LS212" s="450"/>
      <c r="LT212" s="450"/>
      <c r="LU212" s="450"/>
      <c r="LV212" s="450"/>
      <c r="LW212" s="450"/>
      <c r="LX212" s="450"/>
      <c r="LY212" s="450"/>
      <c r="LZ212" s="450"/>
      <c r="MA212" s="450"/>
      <c r="MB212" s="450"/>
      <c r="MC212" s="1706"/>
      <c r="MD212" s="1706"/>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1749"/>
      <c r="C213" s="1749"/>
      <c r="D213" s="1749"/>
      <c r="E213" s="1749"/>
      <c r="F213" s="1749"/>
      <c r="G213" s="1749"/>
      <c r="H213" s="1749"/>
      <c r="I213" s="1749"/>
      <c r="J213" s="1749"/>
      <c r="K213" s="1"/>
      <c r="L213" s="1"/>
      <c r="M213" s="1"/>
      <c r="N213" s="1"/>
      <c r="O213" s="1"/>
      <c r="P213" s="1"/>
      <c r="Q213" s="1"/>
      <c r="R213" s="88" t="s">
        <v>1820</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1705"/>
      <c r="JW213" s="450"/>
      <c r="JX213" s="450"/>
      <c r="JY213" s="450"/>
      <c r="JZ213" s="450"/>
      <c r="KA213" s="1705"/>
      <c r="KB213" s="1705"/>
      <c r="KC213" s="1705"/>
      <c r="KD213" s="1705"/>
      <c r="KE213" s="1705"/>
      <c r="KF213" s="1705"/>
      <c r="KG213" s="1705"/>
      <c r="KH213" s="1705"/>
      <c r="KI213" s="1705"/>
      <c r="KJ213" s="1705"/>
      <c r="KK213" s="1705"/>
      <c r="KL213" s="1705"/>
      <c r="KM213" s="1705"/>
      <c r="KN213" s="1705"/>
      <c r="KO213" s="1705"/>
      <c r="KP213" s="1705"/>
      <c r="KQ213" s="1705"/>
      <c r="KR213" s="1705"/>
      <c r="KS213" s="1705"/>
      <c r="KT213" s="1705"/>
      <c r="KU213" s="1705"/>
      <c r="KV213" s="1705"/>
      <c r="KW213" s="1705"/>
      <c r="KX213" s="1705"/>
      <c r="KY213" s="1705"/>
      <c r="KZ213" s="1705"/>
      <c r="LA213" s="1705"/>
      <c r="LB213" s="1705"/>
      <c r="LC213" s="1705"/>
      <c r="LD213" s="1705"/>
      <c r="LE213" s="1705"/>
      <c r="LF213" s="1705"/>
      <c r="LG213" s="450"/>
      <c r="LH213" s="450"/>
      <c r="LI213" s="450"/>
      <c r="LJ213" s="450"/>
      <c r="LK213" s="450"/>
      <c r="LL213" s="450"/>
      <c r="LM213" s="1706"/>
      <c r="LN213" s="450"/>
      <c r="LO213" s="450"/>
      <c r="LP213" s="450"/>
      <c r="LQ213" s="450"/>
      <c r="LR213" s="450"/>
      <c r="LS213" s="450"/>
      <c r="LT213" s="450"/>
      <c r="LU213" s="450"/>
      <c r="LV213" s="450"/>
      <c r="LW213" s="450"/>
      <c r="LX213" s="450"/>
      <c r="LY213" s="450"/>
      <c r="LZ213" s="450"/>
      <c r="MA213" s="450"/>
      <c r="MB213" s="450"/>
      <c r="MC213" s="1706"/>
      <c r="MD213" s="1706"/>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1275</v>
      </c>
      <c r="C214" s="1"/>
      <c r="D214" s="1"/>
      <c r="E214" s="1"/>
      <c r="F214" s="26"/>
      <c r="G214" s="26"/>
      <c r="H214" s="1"/>
      <c r="I214" s="9" t="s">
        <v>1362</v>
      </c>
      <c r="J214" s="1"/>
      <c r="K214" s="1"/>
      <c r="L214" s="1"/>
      <c r="M214" s="1"/>
      <c r="N214" s="9" t="s">
        <v>1361</v>
      </c>
      <c r="O214" s="1"/>
      <c r="P214" s="1"/>
      <c r="Q214" s="1"/>
      <c r="R214" s="3155"/>
      <c r="S214" s="3156"/>
      <c r="T214" s="3156"/>
      <c r="U214" s="3156"/>
      <c r="V214" s="3157"/>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1705"/>
      <c r="JW214" s="450"/>
      <c r="JX214" s="450"/>
      <c r="JY214" s="450"/>
      <c r="JZ214" s="450"/>
      <c r="KA214" s="1705"/>
      <c r="KB214" s="1705"/>
      <c r="KC214" s="1705"/>
      <c r="KD214" s="1705"/>
      <c r="KE214" s="1705"/>
      <c r="KF214" s="1705"/>
      <c r="KG214" s="1705"/>
      <c r="KH214" s="1705"/>
      <c r="KI214" s="1705"/>
      <c r="KJ214" s="1705"/>
      <c r="KK214" s="1705"/>
      <c r="KL214" s="1705"/>
      <c r="KM214" s="1705"/>
      <c r="KN214" s="1705"/>
      <c r="KO214" s="1705"/>
      <c r="KP214" s="1705"/>
      <c r="KQ214" s="1705"/>
      <c r="KR214" s="1705"/>
      <c r="KS214" s="1705"/>
      <c r="KT214" s="1705"/>
      <c r="KU214" s="1705"/>
      <c r="KV214" s="1705"/>
      <c r="KW214" s="1705"/>
      <c r="KX214" s="1705"/>
      <c r="KY214" s="1705"/>
      <c r="KZ214" s="1705"/>
      <c r="LA214" s="1705"/>
      <c r="LB214" s="1705"/>
      <c r="LC214" s="1705"/>
      <c r="LD214" s="1705"/>
      <c r="LE214" s="1705"/>
      <c r="LF214" s="1705"/>
      <c r="LG214" s="450"/>
      <c r="LH214" s="450"/>
      <c r="LI214" s="450"/>
      <c r="LJ214" s="450"/>
      <c r="LK214" s="450"/>
      <c r="LL214" s="450"/>
      <c r="LM214" s="1706"/>
      <c r="LN214" s="450"/>
      <c r="LO214" s="450"/>
      <c r="LP214" s="450"/>
      <c r="LQ214" s="450"/>
      <c r="LR214" s="450"/>
      <c r="LS214" s="450"/>
      <c r="LT214" s="450"/>
      <c r="LU214" s="450"/>
      <c r="LV214" s="450"/>
      <c r="LW214" s="450"/>
      <c r="LX214" s="450"/>
      <c r="LY214" s="450"/>
      <c r="LZ214" s="450"/>
      <c r="MA214" s="450"/>
      <c r="MB214" s="450"/>
      <c r="MC214" s="1706"/>
      <c r="MD214" s="1706"/>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2169</v>
      </c>
      <c r="C215" s="1"/>
      <c r="D215" s="1"/>
      <c r="E215" s="1"/>
      <c r="F215" s="3209">
        <f>55000+17500</f>
        <v>72500</v>
      </c>
      <c r="G215" s="3210"/>
      <c r="H215" s="1"/>
      <c r="I215" s="1" t="s">
        <v>1363</v>
      </c>
      <c r="J215" s="1"/>
      <c r="K215" s="3209"/>
      <c r="L215" s="3210"/>
      <c r="M215" s="1"/>
      <c r="N215" s="1" t="s">
        <v>916</v>
      </c>
      <c r="O215" s="1"/>
      <c r="P215" s="2422">
        <v>75000</v>
      </c>
      <c r="Q215" s="873"/>
      <c r="R215" s="3160"/>
      <c r="S215" s="3161"/>
      <c r="T215" s="3161"/>
      <c r="U215" s="3161"/>
      <c r="V215" s="3162"/>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1705"/>
      <c r="JW215" s="450"/>
      <c r="JX215" s="450"/>
      <c r="JY215" s="450"/>
      <c r="JZ215" s="450"/>
      <c r="KA215" s="1705"/>
      <c r="KB215" s="1705"/>
      <c r="KC215" s="1705"/>
      <c r="KD215" s="1705"/>
      <c r="KE215" s="1705"/>
      <c r="KF215" s="1705"/>
      <c r="KG215" s="1705"/>
      <c r="KH215" s="1705"/>
      <c r="KI215" s="1705"/>
      <c r="KJ215" s="1705"/>
      <c r="KK215" s="1705"/>
      <c r="KL215" s="1705"/>
      <c r="KM215" s="1705"/>
      <c r="KN215" s="1705"/>
      <c r="KO215" s="1705"/>
      <c r="KP215" s="1705"/>
      <c r="KQ215" s="1705"/>
      <c r="KR215" s="1705"/>
      <c r="KS215" s="1705"/>
      <c r="KT215" s="1705"/>
      <c r="KU215" s="1705"/>
      <c r="KV215" s="1705"/>
      <c r="KW215" s="1705"/>
      <c r="KX215" s="1705"/>
      <c r="KY215" s="1705"/>
      <c r="KZ215" s="1705"/>
      <c r="LA215" s="1705"/>
      <c r="LB215" s="1705"/>
      <c r="LC215" s="1705"/>
      <c r="LD215" s="1705"/>
      <c r="LE215" s="1705"/>
      <c r="LF215" s="1705"/>
      <c r="LG215" s="450"/>
      <c r="LH215" s="450"/>
      <c r="LI215" s="450"/>
      <c r="LJ215" s="450"/>
      <c r="LK215" s="450"/>
      <c r="LL215" s="450"/>
      <c r="LM215" s="1706"/>
      <c r="LN215" s="450"/>
      <c r="LO215" s="450"/>
      <c r="LP215" s="450"/>
      <c r="LQ215" s="450"/>
      <c r="LR215" s="450"/>
      <c r="LS215" s="450"/>
      <c r="LT215" s="450"/>
      <c r="LU215" s="450"/>
      <c r="LV215" s="450"/>
      <c r="LW215" s="450"/>
      <c r="LX215" s="450"/>
      <c r="LY215" s="450"/>
      <c r="LZ215" s="450"/>
      <c r="MA215" s="450"/>
      <c r="MB215" s="450"/>
      <c r="MC215" s="1706"/>
      <c r="MD215" s="1706"/>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1352</v>
      </c>
      <c r="C216" s="1"/>
      <c r="D216" s="1"/>
      <c r="E216" s="1"/>
      <c r="F216" s="3176">
        <f>45000+17500</f>
        <v>62500</v>
      </c>
      <c r="G216" s="3177"/>
      <c r="H216" s="1"/>
      <c r="I216" s="1" t="s">
        <v>1364</v>
      </c>
      <c r="J216" s="1"/>
      <c r="K216" s="3181">
        <v>3600</v>
      </c>
      <c r="L216" s="3182"/>
      <c r="M216" s="1"/>
      <c r="N216" s="1" t="s">
        <v>145</v>
      </c>
      <c r="O216" s="1"/>
      <c r="P216" s="2423">
        <v>40000</v>
      </c>
      <c r="Q216" s="873"/>
      <c r="R216" s="3160"/>
      <c r="S216" s="3161"/>
      <c r="T216" s="3161"/>
      <c r="U216" s="3161"/>
      <c r="V216" s="3162"/>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1705"/>
      <c r="JW216" s="450"/>
      <c r="JX216" s="450"/>
      <c r="JY216" s="450"/>
      <c r="JZ216" s="450"/>
      <c r="KA216" s="1705"/>
      <c r="KB216" s="1705"/>
      <c r="KC216" s="1705"/>
      <c r="KD216" s="1705"/>
      <c r="KE216" s="1705"/>
      <c r="KF216" s="1705"/>
      <c r="KG216" s="1705"/>
      <c r="KH216" s="1705"/>
      <c r="KI216" s="1705"/>
      <c r="KJ216" s="1705"/>
      <c r="KK216" s="1705"/>
      <c r="KL216" s="1705"/>
      <c r="KM216" s="1705"/>
      <c r="KN216" s="1705"/>
      <c r="KO216" s="1705"/>
      <c r="KP216" s="1705"/>
      <c r="KQ216" s="1705"/>
      <c r="KR216" s="1705"/>
      <c r="KS216" s="1705"/>
      <c r="KT216" s="1705"/>
      <c r="KU216" s="1705"/>
      <c r="KV216" s="1705"/>
      <c r="KW216" s="1705"/>
      <c r="KX216" s="1705"/>
      <c r="KY216" s="1705"/>
      <c r="KZ216" s="1705"/>
      <c r="LA216" s="1705"/>
      <c r="LB216" s="1705"/>
      <c r="LC216" s="1705"/>
      <c r="LD216" s="1705"/>
      <c r="LE216" s="1705"/>
      <c r="LF216" s="1705"/>
      <c r="LG216" s="450"/>
      <c r="LH216" s="450"/>
      <c r="LI216" s="450"/>
      <c r="LJ216" s="450"/>
      <c r="LK216" s="450"/>
      <c r="LL216" s="450"/>
      <c r="LM216" s="1706"/>
      <c r="LN216" s="450"/>
      <c r="LO216" s="450"/>
      <c r="LP216" s="450"/>
      <c r="LQ216" s="450"/>
      <c r="LR216" s="450"/>
      <c r="LS216" s="450"/>
      <c r="LT216" s="450"/>
      <c r="LU216" s="450"/>
      <c r="LV216" s="450"/>
      <c r="LW216" s="450"/>
      <c r="LX216" s="450"/>
      <c r="LY216" s="450"/>
      <c r="LZ216" s="450"/>
      <c r="MA216" s="450"/>
      <c r="MB216" s="450"/>
      <c r="MC216" s="1706"/>
      <c r="MD216" s="1706"/>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1224</v>
      </c>
      <c r="C217" s="1"/>
      <c r="D217" s="1"/>
      <c r="E217" s="1"/>
      <c r="F217" s="3176">
        <v>20000</v>
      </c>
      <c r="G217" s="3177"/>
      <c r="H217" s="1"/>
      <c r="I217" s="1"/>
      <c r="J217" s="122" t="s">
        <v>189</v>
      </c>
      <c r="K217" s="3189">
        <f>SUM(K215:L216)</f>
        <v>3600</v>
      </c>
      <c r="L217" s="3190"/>
      <c r="M217" s="1"/>
      <c r="N217" s="3199" t="s">
        <v>49</v>
      </c>
      <c r="O217" s="3200"/>
      <c r="P217" s="2424"/>
      <c r="Q217" s="873"/>
      <c r="R217" s="3160"/>
      <c r="S217" s="3161"/>
      <c r="T217" s="3161"/>
      <c r="U217" s="3161"/>
      <c r="V217" s="3162"/>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1705"/>
      <c r="JW217" s="450"/>
      <c r="JX217" s="450"/>
      <c r="JY217" s="450"/>
      <c r="JZ217" s="450"/>
      <c r="KA217" s="1705"/>
      <c r="KB217" s="1705"/>
      <c r="KC217" s="1705"/>
      <c r="KD217" s="1705"/>
      <c r="KE217" s="1705"/>
      <c r="KF217" s="1705"/>
      <c r="KG217" s="1705"/>
      <c r="KH217" s="1705"/>
      <c r="KI217" s="1705"/>
      <c r="KJ217" s="1705"/>
      <c r="KK217" s="1705"/>
      <c r="KL217" s="1705"/>
      <c r="KM217" s="1705"/>
      <c r="KN217" s="1705"/>
      <c r="KO217" s="1705"/>
      <c r="KP217" s="1705"/>
      <c r="KQ217" s="1705"/>
      <c r="KR217" s="1705"/>
      <c r="KS217" s="1705"/>
      <c r="KT217" s="1705"/>
      <c r="KU217" s="1705"/>
      <c r="KV217" s="1705"/>
      <c r="KW217" s="1705"/>
      <c r="KX217" s="1705"/>
      <c r="KY217" s="1705"/>
      <c r="KZ217" s="1705"/>
      <c r="LA217" s="1705"/>
      <c r="LB217" s="1705"/>
      <c r="LC217" s="1705"/>
      <c r="LD217" s="1705"/>
      <c r="LE217" s="1705"/>
      <c r="LF217" s="1705"/>
      <c r="LG217" s="450"/>
      <c r="LH217" s="450"/>
      <c r="LI217" s="450"/>
      <c r="LJ217" s="450"/>
      <c r="LK217" s="450"/>
      <c r="LL217" s="450"/>
      <c r="LM217" s="1706"/>
      <c r="LN217" s="450"/>
      <c r="LO217" s="450"/>
      <c r="LP217" s="450"/>
      <c r="LQ217" s="450"/>
      <c r="LR217" s="450"/>
      <c r="LS217" s="450"/>
      <c r="LT217" s="450"/>
      <c r="LU217" s="450"/>
      <c r="LV217" s="450"/>
      <c r="LW217" s="450"/>
      <c r="LX217" s="450"/>
      <c r="LY217" s="450"/>
      <c r="LZ217" s="450"/>
      <c r="MA217" s="450"/>
      <c r="MB217" s="450"/>
      <c r="MC217" s="1706"/>
      <c r="MD217" s="1706"/>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178" t="s">
        <v>4895</v>
      </c>
      <c r="C218" s="3179"/>
      <c r="D218" s="3179"/>
      <c r="E218" s="3180"/>
      <c r="F218" s="3181">
        <f>5000+5000</f>
        <v>10000</v>
      </c>
      <c r="G218" s="3182"/>
      <c r="H218" s="1"/>
      <c r="I218" s="1"/>
      <c r="J218" s="1"/>
      <c r="K218" s="1"/>
      <c r="L218" s="1"/>
      <c r="M218" s="1"/>
      <c r="N218" s="10" t="s">
        <v>189</v>
      </c>
      <c r="O218" s="1"/>
      <c r="P218" s="405">
        <f>SUM(P215:P217)</f>
        <v>115000</v>
      </c>
      <c r="Q218" s="873"/>
      <c r="R218" s="3160"/>
      <c r="S218" s="3161"/>
      <c r="T218" s="3161"/>
      <c r="U218" s="3161"/>
      <c r="V218" s="3162"/>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1705"/>
      <c r="JW218" s="450"/>
      <c r="JX218" s="450"/>
      <c r="JY218" s="450"/>
      <c r="JZ218" s="450"/>
      <c r="KA218" s="1705"/>
      <c r="KB218" s="1705"/>
      <c r="KC218" s="1705"/>
      <c r="KD218" s="1705"/>
      <c r="KE218" s="1705"/>
      <c r="KF218" s="1705"/>
      <c r="KG218" s="1705"/>
      <c r="KH218" s="1705"/>
      <c r="KI218" s="1705"/>
      <c r="KJ218" s="1705"/>
      <c r="KK218" s="1705"/>
      <c r="KL218" s="1705"/>
      <c r="KM218" s="1705"/>
      <c r="KN218" s="1705"/>
      <c r="KO218" s="1705"/>
      <c r="KP218" s="1705"/>
      <c r="KQ218" s="1705"/>
      <c r="KR218" s="1705"/>
      <c r="KS218" s="1705"/>
      <c r="KT218" s="1705"/>
      <c r="KU218" s="1705"/>
      <c r="KV218" s="1705"/>
      <c r="KW218" s="1705"/>
      <c r="KX218" s="1705"/>
      <c r="KY218" s="1705"/>
      <c r="KZ218" s="1705"/>
      <c r="LA218" s="1705"/>
      <c r="LB218" s="1705"/>
      <c r="LC218" s="1705"/>
      <c r="LD218" s="1705"/>
      <c r="LE218" s="1705"/>
      <c r="LF218" s="1705"/>
      <c r="LG218" s="450"/>
      <c r="LH218" s="450"/>
      <c r="LI218" s="450"/>
      <c r="LJ218" s="450"/>
      <c r="LK218" s="450"/>
      <c r="LL218" s="450"/>
      <c r="LM218" s="1706"/>
      <c r="LN218" s="450"/>
      <c r="LO218" s="450"/>
      <c r="LP218" s="450"/>
      <c r="LQ218" s="450"/>
      <c r="LR218" s="450"/>
      <c r="LS218" s="450"/>
      <c r="LT218" s="450"/>
      <c r="LU218" s="450"/>
      <c r="LV218" s="450"/>
      <c r="LW218" s="450"/>
      <c r="LX218" s="450"/>
      <c r="LY218" s="450"/>
      <c r="LZ218" s="450"/>
      <c r="MA218" s="450"/>
      <c r="MB218" s="450"/>
      <c r="MC218" s="1706"/>
      <c r="MD218" s="1706"/>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189</v>
      </c>
      <c r="D219" s="1"/>
      <c r="E219" s="1"/>
      <c r="F219" s="3189">
        <f>SUM(F215:G218)</f>
        <v>165000</v>
      </c>
      <c r="G219" s="3190"/>
      <c r="H219" s="1"/>
      <c r="I219" s="1"/>
      <c r="J219" s="11"/>
      <c r="K219" s="1"/>
      <c r="L219" s="1"/>
      <c r="M219" s="1"/>
      <c r="N219" s="1"/>
      <c r="O219" s="1"/>
      <c r="P219" s="1"/>
      <c r="Q219" s="1"/>
      <c r="R219" s="3160"/>
      <c r="S219" s="3161"/>
      <c r="T219" s="3161"/>
      <c r="U219" s="3161"/>
      <c r="V219" s="3162"/>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1705"/>
      <c r="JW219" s="450"/>
      <c r="JX219" s="450"/>
      <c r="JY219" s="450"/>
      <c r="JZ219" s="450"/>
      <c r="KA219" s="1705"/>
      <c r="KB219" s="1705"/>
      <c r="KC219" s="1705"/>
      <c r="KD219" s="1705"/>
      <c r="KE219" s="1705"/>
      <c r="KF219" s="1705"/>
      <c r="KG219" s="1705"/>
      <c r="KH219" s="1705"/>
      <c r="KI219" s="1705"/>
      <c r="KJ219" s="1705"/>
      <c r="KK219" s="1705"/>
      <c r="KL219" s="1705"/>
      <c r="KM219" s="1705"/>
      <c r="KN219" s="1705"/>
      <c r="KO219" s="1705"/>
      <c r="KP219" s="1705"/>
      <c r="KQ219" s="1705"/>
      <c r="KR219" s="1705"/>
      <c r="KS219" s="1705"/>
      <c r="KT219" s="1705"/>
      <c r="KU219" s="1705"/>
      <c r="KV219" s="1705"/>
      <c r="KW219" s="1705"/>
      <c r="KX219" s="1705"/>
      <c r="KY219" s="1705"/>
      <c r="KZ219" s="1705"/>
      <c r="LA219" s="1705"/>
      <c r="LB219" s="1705"/>
      <c r="LC219" s="1705"/>
      <c r="LD219" s="1705"/>
      <c r="LE219" s="1705"/>
      <c r="LF219" s="1705"/>
      <c r="LG219" s="450"/>
      <c r="LH219" s="450"/>
      <c r="LI219" s="450"/>
      <c r="LJ219" s="450"/>
      <c r="LK219" s="450"/>
      <c r="LL219" s="450"/>
      <c r="LM219" s="1706"/>
      <c r="LN219" s="450"/>
      <c r="LO219" s="450"/>
      <c r="LP219" s="450"/>
      <c r="LQ219" s="450"/>
      <c r="LR219" s="450"/>
      <c r="LS219" s="450"/>
      <c r="LT219" s="450"/>
      <c r="LU219" s="450"/>
      <c r="LV219" s="450"/>
      <c r="LW219" s="450"/>
      <c r="LX219" s="450"/>
      <c r="LY219" s="450"/>
      <c r="LZ219" s="450"/>
      <c r="MA219" s="450"/>
      <c r="MB219" s="450"/>
      <c r="MC219" s="1706"/>
      <c r="MD219" s="1706"/>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160"/>
      <c r="S220" s="3161"/>
      <c r="T220" s="3161"/>
      <c r="U220" s="3161"/>
      <c r="V220" s="3162"/>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1705"/>
      <c r="JW220" s="450"/>
      <c r="JX220" s="450"/>
      <c r="JY220" s="450"/>
      <c r="JZ220" s="450"/>
      <c r="KA220" s="1705"/>
      <c r="KB220" s="1705"/>
      <c r="KC220" s="1705"/>
      <c r="KD220" s="1705"/>
      <c r="KE220" s="1705"/>
      <c r="KF220" s="1705"/>
      <c r="KG220" s="1705"/>
      <c r="KH220" s="1705"/>
      <c r="KI220" s="1705"/>
      <c r="KJ220" s="1705"/>
      <c r="KK220" s="1705"/>
      <c r="KL220" s="1705"/>
      <c r="KM220" s="1705"/>
      <c r="KN220" s="1705"/>
      <c r="KO220" s="1705"/>
      <c r="KP220" s="1705"/>
      <c r="KQ220" s="1705"/>
      <c r="KR220" s="1705"/>
      <c r="KS220" s="1705"/>
      <c r="KT220" s="1705"/>
      <c r="KU220" s="1705"/>
      <c r="KV220" s="1705"/>
      <c r="KW220" s="1705"/>
      <c r="KX220" s="1705"/>
      <c r="KY220" s="1705"/>
      <c r="KZ220" s="1705"/>
      <c r="LA220" s="1705"/>
      <c r="LB220" s="1705"/>
      <c r="LC220" s="1705"/>
      <c r="LD220" s="1705"/>
      <c r="LE220" s="1705"/>
      <c r="LF220" s="1705"/>
      <c r="LG220" s="450"/>
      <c r="LH220" s="450"/>
      <c r="LI220" s="450"/>
      <c r="LJ220" s="450"/>
      <c r="LK220" s="450"/>
      <c r="LL220" s="450"/>
      <c r="LM220" s="1706"/>
      <c r="LN220" s="450"/>
      <c r="LO220" s="450"/>
      <c r="LP220" s="450"/>
      <c r="LQ220" s="450"/>
      <c r="LR220" s="450"/>
      <c r="LS220" s="450"/>
      <c r="LT220" s="450"/>
      <c r="LU220" s="450"/>
      <c r="LV220" s="450"/>
      <c r="LW220" s="450"/>
      <c r="LX220" s="450"/>
      <c r="LY220" s="450"/>
      <c r="LZ220" s="450"/>
      <c r="MA220" s="450"/>
      <c r="MB220" s="450"/>
      <c r="MC220" s="1706"/>
      <c r="MD220" s="1706"/>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1276</v>
      </c>
      <c r="C221" s="1"/>
      <c r="D221" s="8"/>
      <c r="E221" s="1"/>
      <c r="F221" s="1"/>
      <c r="G221" s="1"/>
      <c r="H221" s="1"/>
      <c r="I221" s="9" t="s">
        <v>1277</v>
      </c>
      <c r="J221" s="1"/>
      <c r="K221" s="1"/>
      <c r="L221" s="1"/>
      <c r="M221" s="1"/>
      <c r="N221" s="9" t="s">
        <v>1365</v>
      </c>
      <c r="O221" s="1"/>
      <c r="P221" s="404">
        <f>IF(OR('Part VII-Pro Forma'!$B$21 = "Choose Mgt Fee",'Part VII-Pro Forma'!$B$21 = "Choose One!"), 0,- 'Part VII-Pro Forma'!$B$21)</f>
        <v>36450</v>
      </c>
      <c r="Q221" s="874"/>
      <c r="R221" s="3160"/>
      <c r="S221" s="3161"/>
      <c r="T221" s="3161"/>
      <c r="U221" s="3161"/>
      <c r="V221" s="3162"/>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1705"/>
      <c r="JW221" s="450"/>
      <c r="JX221" s="450"/>
      <c r="JY221" s="450"/>
      <c r="JZ221" s="450"/>
      <c r="KA221" s="1705"/>
      <c r="KB221" s="1705"/>
      <c r="KC221" s="1705"/>
      <c r="KD221" s="1705"/>
      <c r="KE221" s="1705"/>
      <c r="KF221" s="1705"/>
      <c r="KG221" s="1705"/>
      <c r="KH221" s="1705"/>
      <c r="KI221" s="1705"/>
      <c r="KJ221" s="1705"/>
      <c r="KK221" s="1705"/>
      <c r="KL221" s="1705"/>
      <c r="KM221" s="1705"/>
      <c r="KN221" s="1705"/>
      <c r="KO221" s="1705"/>
      <c r="KP221" s="1705"/>
      <c r="KQ221" s="1705"/>
      <c r="KR221" s="1705"/>
      <c r="KS221" s="1705"/>
      <c r="KT221" s="1705"/>
      <c r="KU221" s="1705"/>
      <c r="KV221" s="1705"/>
      <c r="KW221" s="1705"/>
      <c r="KX221" s="1705"/>
      <c r="KY221" s="1705"/>
      <c r="KZ221" s="1705"/>
      <c r="LA221" s="1705"/>
      <c r="LB221" s="1705"/>
      <c r="LC221" s="1705"/>
      <c r="LD221" s="1705"/>
      <c r="LE221" s="1705"/>
      <c r="LF221" s="1705"/>
      <c r="LG221" s="450"/>
      <c r="LH221" s="450"/>
      <c r="LI221" s="450"/>
      <c r="LJ221" s="450"/>
      <c r="LK221" s="450"/>
      <c r="LL221" s="450"/>
      <c r="LM221" s="1706"/>
      <c r="LN221" s="450"/>
      <c r="LO221" s="450"/>
      <c r="LP221" s="450"/>
      <c r="LQ221" s="450"/>
      <c r="LR221" s="450"/>
      <c r="LS221" s="450"/>
      <c r="LT221" s="450"/>
      <c r="LU221" s="450"/>
      <c r="LV221" s="450"/>
      <c r="LW221" s="450"/>
      <c r="LX221" s="450"/>
      <c r="LY221" s="450"/>
      <c r="LZ221" s="450"/>
      <c r="MA221" s="450"/>
      <c r="MB221" s="450"/>
      <c r="MC221" s="1706"/>
      <c r="MD221" s="1706"/>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1357</v>
      </c>
      <c r="C222" s="1"/>
      <c r="D222" s="8"/>
      <c r="E222" s="1"/>
      <c r="F222" s="3209">
        <v>2500</v>
      </c>
      <c r="G222" s="3210"/>
      <c r="H222" s="1"/>
      <c r="I222" s="1" t="s">
        <v>1583</v>
      </c>
      <c r="J222" s="1"/>
      <c r="K222" s="3193">
        <v>5500</v>
      </c>
      <c r="L222" s="3194"/>
      <c r="M222" s="1"/>
      <c r="N222" s="393">
        <f>+P221/(O67*0.93)</f>
        <v>466.58986175115206</v>
      </c>
      <c r="O222" s="66" t="s">
        <v>2711</v>
      </c>
      <c r="P222" s="1"/>
      <c r="Q222" s="1"/>
      <c r="R222" s="3160"/>
      <c r="S222" s="3161"/>
      <c r="T222" s="3161"/>
      <c r="U222" s="3161"/>
      <c r="V222" s="3162"/>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1705"/>
      <c r="JW222" s="450"/>
      <c r="JX222" s="450"/>
      <c r="JY222" s="450"/>
      <c r="JZ222" s="450"/>
      <c r="KA222" s="1705"/>
      <c r="KB222" s="1705"/>
      <c r="KC222" s="1705"/>
      <c r="KD222" s="1705"/>
      <c r="KE222" s="1705"/>
      <c r="KF222" s="1705"/>
      <c r="KG222" s="1705"/>
      <c r="KH222" s="1705"/>
      <c r="KI222" s="1705"/>
      <c r="KJ222" s="1705"/>
      <c r="KK222" s="1705"/>
      <c r="KL222" s="1705"/>
      <c r="KM222" s="1705"/>
      <c r="KN222" s="1705"/>
      <c r="KO222" s="1705"/>
      <c r="KP222" s="1705"/>
      <c r="KQ222" s="1705"/>
      <c r="KR222" s="1705"/>
      <c r="KS222" s="1705"/>
      <c r="KT222" s="1705"/>
      <c r="KU222" s="1705"/>
      <c r="KV222" s="1705"/>
      <c r="KW222" s="1705"/>
      <c r="KX222" s="1705"/>
      <c r="KY222" s="1705"/>
      <c r="KZ222" s="1705"/>
      <c r="LA222" s="1705"/>
      <c r="LB222" s="1705"/>
      <c r="LC222" s="1705"/>
      <c r="LD222" s="1705"/>
      <c r="LE222" s="1705"/>
      <c r="LF222" s="1705"/>
      <c r="LG222" s="450"/>
      <c r="LH222" s="450"/>
      <c r="LI222" s="450"/>
      <c r="LJ222" s="450"/>
      <c r="LK222" s="450"/>
      <c r="LL222" s="450"/>
      <c r="LM222" s="1706"/>
      <c r="LN222" s="450"/>
      <c r="LO222" s="450"/>
      <c r="LP222" s="450"/>
      <c r="LQ222" s="450"/>
      <c r="LR222" s="450"/>
      <c r="LS222" s="450"/>
      <c r="LT222" s="450"/>
      <c r="LU222" s="450"/>
      <c r="LV222" s="450"/>
      <c r="LW222" s="450"/>
      <c r="LX222" s="450"/>
      <c r="LY222" s="450"/>
      <c r="LZ222" s="450"/>
      <c r="MA222" s="450"/>
      <c r="MB222" s="450"/>
      <c r="MC222" s="1706"/>
      <c r="MD222" s="1706"/>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1358</v>
      </c>
      <c r="C223" s="1"/>
      <c r="D223" s="8"/>
      <c r="E223" s="1"/>
      <c r="F223" s="3176">
        <v>2500</v>
      </c>
      <c r="G223" s="3177"/>
      <c r="H223" s="1"/>
      <c r="I223" s="1" t="s">
        <v>2023</v>
      </c>
      <c r="J223" s="1"/>
      <c r="K223" s="3197">
        <v>7500</v>
      </c>
      <c r="L223" s="3198"/>
      <c r="M223" s="1"/>
      <c r="N223" s="393">
        <f>+P221/(O67*0.93)/12</f>
        <v>38.882488479262669</v>
      </c>
      <c r="O223" s="66" t="s">
        <v>2712</v>
      </c>
      <c r="P223" s="1"/>
      <c r="Q223" s="1"/>
      <c r="R223" s="3160"/>
      <c r="S223" s="3161"/>
      <c r="T223" s="3161"/>
      <c r="U223" s="3161"/>
      <c r="V223" s="3162"/>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1705"/>
      <c r="JW223" s="450"/>
      <c r="JX223" s="450"/>
      <c r="JY223" s="450"/>
      <c r="JZ223" s="450"/>
      <c r="KA223" s="1705"/>
      <c r="KB223" s="1705"/>
      <c r="KC223" s="1705"/>
      <c r="KD223" s="1705"/>
      <c r="KE223" s="1705"/>
      <c r="KF223" s="1705"/>
      <c r="KG223" s="1705"/>
      <c r="KH223" s="1705"/>
      <c r="KI223" s="1705"/>
      <c r="KJ223" s="1705"/>
      <c r="KK223" s="1705"/>
      <c r="KL223" s="1705"/>
      <c r="KM223" s="1705"/>
      <c r="KN223" s="1705"/>
      <c r="KO223" s="1705"/>
      <c r="KP223" s="1705"/>
      <c r="KQ223" s="1705"/>
      <c r="KR223" s="1705"/>
      <c r="KS223" s="1705"/>
      <c r="KT223" s="1705"/>
      <c r="KU223" s="1705"/>
      <c r="KV223" s="1705"/>
      <c r="KW223" s="1705"/>
      <c r="KX223" s="1705"/>
      <c r="KY223" s="1705"/>
      <c r="KZ223" s="1705"/>
      <c r="LA223" s="1705"/>
      <c r="LB223" s="1705"/>
      <c r="LC223" s="1705"/>
      <c r="LD223" s="1705"/>
      <c r="LE223" s="1705"/>
      <c r="LF223" s="1705"/>
      <c r="LG223" s="450"/>
      <c r="LH223" s="450"/>
      <c r="LI223" s="450"/>
      <c r="LJ223" s="450"/>
      <c r="LK223" s="450"/>
      <c r="LL223" s="450"/>
      <c r="LM223" s="1706"/>
      <c r="LN223" s="450"/>
      <c r="LO223" s="450"/>
      <c r="LP223" s="450"/>
      <c r="LQ223" s="450"/>
      <c r="LR223" s="450"/>
      <c r="LS223" s="450"/>
      <c r="LT223" s="450"/>
      <c r="LU223" s="450"/>
      <c r="LV223" s="450"/>
      <c r="LW223" s="450"/>
      <c r="LX223" s="450"/>
      <c r="LY223" s="450"/>
      <c r="LZ223" s="450"/>
      <c r="MA223" s="450"/>
      <c r="MB223" s="450"/>
      <c r="MC223" s="1706"/>
      <c r="MD223" s="1706"/>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1359</v>
      </c>
      <c r="C224" s="1"/>
      <c r="D224" s="8"/>
      <c r="E224" s="1"/>
      <c r="F224" s="3176">
        <v>1200</v>
      </c>
      <c r="G224" s="3177"/>
      <c r="H224" s="1"/>
      <c r="I224" s="1" t="s">
        <v>1584</v>
      </c>
      <c r="J224" s="1"/>
      <c r="K224" s="3197">
        <v>7500</v>
      </c>
      <c r="L224" s="3198"/>
      <c r="M224" s="1"/>
      <c r="N224" s="35" t="s">
        <v>3624</v>
      </c>
      <c r="O224" s="972"/>
      <c r="P224" s="972"/>
      <c r="Q224" s="1761"/>
      <c r="R224" s="3160"/>
      <c r="S224" s="3161"/>
      <c r="T224" s="3161"/>
      <c r="U224" s="3161"/>
      <c r="V224" s="3162"/>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1705"/>
      <c r="JW224" s="450"/>
      <c r="JX224" s="450"/>
      <c r="JY224" s="450"/>
      <c r="JZ224" s="450"/>
      <c r="KA224" s="1705"/>
      <c r="KB224" s="1705"/>
      <c r="KC224" s="1705"/>
      <c r="KD224" s="1705"/>
      <c r="KE224" s="1705"/>
      <c r="KF224" s="1705"/>
      <c r="KG224" s="1705"/>
      <c r="KH224" s="1705"/>
      <c r="KI224" s="1705"/>
      <c r="KJ224" s="1705"/>
      <c r="KK224" s="1705"/>
      <c r="KL224" s="1705"/>
      <c r="KM224" s="1705"/>
      <c r="KN224" s="1705"/>
      <c r="KO224" s="1705"/>
      <c r="KP224" s="1705"/>
      <c r="KQ224" s="1705"/>
      <c r="KR224" s="1705"/>
      <c r="KS224" s="1705"/>
      <c r="KT224" s="1705"/>
      <c r="KU224" s="1705"/>
      <c r="KV224" s="1705"/>
      <c r="KW224" s="1705"/>
      <c r="KX224" s="1705"/>
      <c r="KY224" s="1705"/>
      <c r="KZ224" s="1705"/>
      <c r="LA224" s="1705"/>
      <c r="LB224" s="1705"/>
      <c r="LC224" s="1705"/>
      <c r="LD224" s="1705"/>
      <c r="LE224" s="1705"/>
      <c r="LF224" s="1705"/>
      <c r="LG224" s="450"/>
      <c r="LH224" s="450"/>
      <c r="LI224" s="450"/>
      <c r="LJ224" s="450"/>
      <c r="LK224" s="450"/>
      <c r="LL224" s="450"/>
      <c r="LM224" s="1706"/>
      <c r="LN224" s="450"/>
      <c r="LO224" s="450"/>
      <c r="LP224" s="450"/>
      <c r="LQ224" s="450"/>
      <c r="LR224" s="450"/>
      <c r="LS224" s="450"/>
      <c r="LT224" s="450"/>
      <c r="LU224" s="450"/>
      <c r="LV224" s="450"/>
      <c r="LW224" s="450"/>
      <c r="LX224" s="450"/>
      <c r="LY224" s="450"/>
      <c r="LZ224" s="450"/>
      <c r="MA224" s="450"/>
      <c r="MB224" s="450"/>
      <c r="MC224" s="1706"/>
      <c r="MD224" s="1706"/>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2312</v>
      </c>
      <c r="C225" s="1"/>
      <c r="D225" s="8"/>
      <c r="E225" s="1"/>
      <c r="F225" s="3176">
        <v>1500</v>
      </c>
      <c r="G225" s="3177"/>
      <c r="H225" s="1"/>
      <c r="I225" s="3199" t="s">
        <v>49</v>
      </c>
      <c r="J225" s="3200"/>
      <c r="K225" s="3201"/>
      <c r="L225" s="3202"/>
      <c r="M225" s="1"/>
      <c r="N225" s="972"/>
      <c r="O225" s="972"/>
      <c r="P225" s="972"/>
      <c r="Q225" s="1761"/>
      <c r="R225" s="3160"/>
      <c r="S225" s="3161"/>
      <c r="T225" s="3161"/>
      <c r="U225" s="3161"/>
      <c r="V225" s="3162"/>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1705"/>
      <c r="JW225" s="450"/>
      <c r="JX225" s="450"/>
      <c r="JY225" s="450"/>
      <c r="JZ225" s="450"/>
      <c r="KA225" s="1705"/>
      <c r="KB225" s="1705"/>
      <c r="KC225" s="1705"/>
      <c r="KD225" s="1705"/>
      <c r="KE225" s="1705"/>
      <c r="KF225" s="1705"/>
      <c r="KG225" s="1705"/>
      <c r="KH225" s="1705"/>
      <c r="KI225" s="1705"/>
      <c r="KJ225" s="1705"/>
      <c r="KK225" s="1705"/>
      <c r="KL225" s="1705"/>
      <c r="KM225" s="1705"/>
      <c r="KN225" s="1705"/>
      <c r="KO225" s="1705"/>
      <c r="KP225" s="1705"/>
      <c r="KQ225" s="1705"/>
      <c r="KR225" s="1705"/>
      <c r="KS225" s="1705"/>
      <c r="KT225" s="1705"/>
      <c r="KU225" s="1705"/>
      <c r="KV225" s="1705"/>
      <c r="KW225" s="1705"/>
      <c r="KX225" s="1705"/>
      <c r="KY225" s="1705"/>
      <c r="KZ225" s="1705"/>
      <c r="LA225" s="1705"/>
      <c r="LB225" s="1705"/>
      <c r="LC225" s="1705"/>
      <c r="LD225" s="1705"/>
      <c r="LE225" s="1705"/>
      <c r="LF225" s="1705"/>
      <c r="LG225" s="450"/>
      <c r="LH225" s="450"/>
      <c r="LI225" s="450"/>
      <c r="LJ225" s="450"/>
      <c r="LK225" s="450"/>
      <c r="LL225" s="450"/>
      <c r="LM225" s="1706"/>
      <c r="LN225" s="450"/>
      <c r="LO225" s="450"/>
      <c r="LP225" s="450"/>
      <c r="LQ225" s="450"/>
      <c r="LR225" s="450"/>
      <c r="LS225" s="450"/>
      <c r="LT225" s="450"/>
      <c r="LU225" s="450"/>
      <c r="LV225" s="450"/>
      <c r="LW225" s="450"/>
      <c r="LX225" s="450"/>
      <c r="LY225" s="450"/>
      <c r="LZ225" s="450"/>
      <c r="MA225" s="450"/>
      <c r="MB225" s="450"/>
      <c r="MC225" s="1706"/>
      <c r="MD225" s="1706"/>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1581</v>
      </c>
      <c r="C226" s="1"/>
      <c r="D226" s="8"/>
      <c r="E226" s="1"/>
      <c r="F226" s="3176">
        <v>1200</v>
      </c>
      <c r="G226" s="3177"/>
      <c r="H226" s="1"/>
      <c r="I226" s="9"/>
      <c r="J226" s="10" t="s">
        <v>189</v>
      </c>
      <c r="K226" s="3203">
        <f>SUM(K222:K225)</f>
        <v>20500</v>
      </c>
      <c r="L226" s="3204"/>
      <c r="M226" s="3205" t="str">
        <f>IF(P228="","",IF(P226&lt;P228, "WARNING! OE below required minimum.",""))</f>
        <v/>
      </c>
      <c r="N226" s="9" t="s">
        <v>2159</v>
      </c>
      <c r="O226" s="4"/>
      <c r="P226" s="403">
        <f>F219+F228+F239+K217+K226+K236+P218+P221</f>
        <v>456174</v>
      </c>
      <c r="R226" s="3160"/>
      <c r="S226" s="3161"/>
      <c r="T226" s="3161"/>
      <c r="U226" s="3161"/>
      <c r="V226" s="3162"/>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1705"/>
      <c r="JW226" s="450"/>
      <c r="JX226" s="450"/>
      <c r="JY226" s="450"/>
      <c r="JZ226" s="450"/>
      <c r="KA226" s="1705"/>
      <c r="KB226" s="1705"/>
      <c r="KC226" s="1705"/>
      <c r="KD226" s="1705"/>
      <c r="KE226" s="1705"/>
      <c r="KF226" s="1705"/>
      <c r="KG226" s="1705"/>
      <c r="KH226" s="1705"/>
      <c r="KI226" s="1705"/>
      <c r="KJ226" s="1705"/>
      <c r="KK226" s="1705"/>
      <c r="KL226" s="1705"/>
      <c r="KM226" s="1705"/>
      <c r="KN226" s="1705"/>
      <c r="KO226" s="1705"/>
      <c r="KP226" s="1705"/>
      <c r="KQ226" s="1705"/>
      <c r="KR226" s="1705"/>
      <c r="KS226" s="1705"/>
      <c r="KT226" s="1705"/>
      <c r="KU226" s="1705"/>
      <c r="KV226" s="1705"/>
      <c r="KW226" s="1705"/>
      <c r="KX226" s="1705"/>
      <c r="KY226" s="1705"/>
      <c r="KZ226" s="1705"/>
      <c r="LA226" s="1705"/>
      <c r="LB226" s="1705"/>
      <c r="LC226" s="1705"/>
      <c r="LD226" s="1705"/>
      <c r="LE226" s="1705"/>
      <c r="LF226" s="1705"/>
      <c r="LG226" s="450"/>
      <c r="LH226" s="450"/>
      <c r="LI226" s="450"/>
      <c r="LJ226" s="450"/>
      <c r="LK226" s="450"/>
      <c r="LL226" s="450"/>
      <c r="LM226" s="1706"/>
      <c r="LN226" s="450"/>
      <c r="LO226" s="450"/>
      <c r="LP226" s="450"/>
      <c r="LQ226" s="450"/>
      <c r="LR226" s="450"/>
      <c r="LS226" s="450"/>
      <c r="LT226" s="450"/>
      <c r="LU226" s="450"/>
      <c r="LV226" s="450"/>
      <c r="LW226" s="450"/>
      <c r="LX226" s="450"/>
      <c r="LY226" s="450"/>
      <c r="LZ226" s="450"/>
      <c r="MA226" s="450"/>
      <c r="MB226" s="450"/>
      <c r="MC226" s="1706"/>
      <c r="MD226" s="1706"/>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178" t="s">
        <v>4887</v>
      </c>
      <c r="C227" s="3179"/>
      <c r="D227" s="3179"/>
      <c r="E227" s="3180"/>
      <c r="F227" s="3181">
        <v>5500</v>
      </c>
      <c r="G227" s="3182"/>
      <c r="H227" s="1"/>
      <c r="I227" s="1"/>
      <c r="J227" s="11"/>
      <c r="K227" s="1"/>
      <c r="L227" s="1"/>
      <c r="M227" s="3205"/>
      <c r="N227" s="66" t="s">
        <v>2713</v>
      </c>
      <c r="O227" s="393">
        <f>+P226/O67</f>
        <v>5430.6428571428569</v>
      </c>
      <c r="Q227" s="873"/>
      <c r="R227" s="3160"/>
      <c r="S227" s="3161"/>
      <c r="T227" s="3161"/>
      <c r="U227" s="3161"/>
      <c r="V227" s="3162"/>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1705"/>
      <c r="JW227" s="450"/>
      <c r="JX227" s="450"/>
      <c r="JY227" s="450"/>
      <c r="JZ227" s="450"/>
      <c r="KA227" s="1705"/>
      <c r="KB227" s="1705"/>
      <c r="KC227" s="1705"/>
      <c r="KD227" s="1705"/>
      <c r="KE227" s="1705"/>
      <c r="KF227" s="1705"/>
      <c r="KG227" s="1705"/>
      <c r="KH227" s="1705"/>
      <c r="KI227" s="1705"/>
      <c r="KJ227" s="1705"/>
      <c r="KK227" s="1705"/>
      <c r="KL227" s="1705"/>
      <c r="KM227" s="1705"/>
      <c r="KN227" s="1705"/>
      <c r="KO227" s="1705"/>
      <c r="KP227" s="1705"/>
      <c r="KQ227" s="1705"/>
      <c r="KR227" s="1705"/>
      <c r="KS227" s="1705"/>
      <c r="KT227" s="1705"/>
      <c r="KU227" s="1705"/>
      <c r="KV227" s="1705"/>
      <c r="KW227" s="1705"/>
      <c r="KX227" s="1705"/>
      <c r="KY227" s="1705"/>
      <c r="KZ227" s="1705"/>
      <c r="LA227" s="1705"/>
      <c r="LB227" s="1705"/>
      <c r="LC227" s="1705"/>
      <c r="LD227" s="1705"/>
      <c r="LE227" s="1705"/>
      <c r="LF227" s="1705"/>
      <c r="LG227" s="450"/>
      <c r="LH227" s="450"/>
      <c r="LI227" s="450"/>
      <c r="LJ227" s="450"/>
      <c r="LK227" s="450"/>
      <c r="LL227" s="450"/>
      <c r="LM227" s="1706"/>
      <c r="LN227" s="450"/>
      <c r="LO227" s="450"/>
      <c r="LP227" s="450"/>
      <c r="LQ227" s="450"/>
      <c r="LR227" s="450"/>
      <c r="LS227" s="450"/>
      <c r="LT227" s="450"/>
      <c r="LU227" s="450"/>
      <c r="LV227" s="450"/>
      <c r="LW227" s="450"/>
      <c r="LX227" s="450"/>
      <c r="LY227" s="450"/>
      <c r="LZ227" s="450"/>
      <c r="MA227" s="450"/>
      <c r="MB227" s="450"/>
      <c r="MC227" s="1706"/>
      <c r="MD227" s="1706"/>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189</v>
      </c>
      <c r="D228" s="1"/>
      <c r="E228" s="1"/>
      <c r="F228" s="3189">
        <f>SUM(F222:G227)</f>
        <v>14400</v>
      </c>
      <c r="G228" s="3190"/>
      <c r="H228" s="1"/>
      <c r="I228" s="1"/>
      <c r="J228" s="11"/>
      <c r="K228" s="1"/>
      <c r="L228" s="1"/>
      <c r="M228" s="3205"/>
      <c r="O228" s="973" t="s">
        <v>3625</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420000</v>
      </c>
      <c r="R228" s="3160"/>
      <c r="S228" s="3161"/>
      <c r="T228" s="3161"/>
      <c r="U228" s="3161"/>
      <c r="V228" s="3162"/>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1705"/>
      <c r="JW228" s="450"/>
      <c r="JX228" s="450"/>
      <c r="JY228" s="450"/>
      <c r="JZ228" s="450"/>
      <c r="KA228" s="1705"/>
      <c r="KB228" s="1705"/>
      <c r="KC228" s="1705"/>
      <c r="KD228" s="1705"/>
      <c r="KE228" s="1705"/>
      <c r="KF228" s="1705"/>
      <c r="KG228" s="1705"/>
      <c r="KH228" s="1705"/>
      <c r="KI228" s="1705"/>
      <c r="KJ228" s="1705"/>
      <c r="KK228" s="1705"/>
      <c r="KL228" s="1705"/>
      <c r="KM228" s="1705"/>
      <c r="KN228" s="1705"/>
      <c r="KO228" s="1705"/>
      <c r="KP228" s="1705"/>
      <c r="KQ228" s="1705"/>
      <c r="KR228" s="1705"/>
      <c r="KS228" s="1705"/>
      <c r="KT228" s="1705"/>
      <c r="KU228" s="1705"/>
      <c r="KV228" s="1705"/>
      <c r="KW228" s="1705"/>
      <c r="KX228" s="1705"/>
      <c r="KY228" s="1705"/>
      <c r="KZ228" s="1705"/>
      <c r="LA228" s="1705"/>
      <c r="LB228" s="1705"/>
      <c r="LC228" s="1705"/>
      <c r="LD228" s="1705"/>
      <c r="LE228" s="1705"/>
      <c r="LF228" s="1705"/>
      <c r="LG228" s="450"/>
      <c r="LH228" s="450"/>
      <c r="LI228" s="450"/>
      <c r="LJ228" s="450"/>
      <c r="LK228" s="450"/>
      <c r="LL228" s="450"/>
      <c r="LM228" s="1706"/>
      <c r="LN228" s="450"/>
      <c r="LO228" s="450"/>
      <c r="LP228" s="450"/>
      <c r="LQ228" s="450"/>
      <c r="LR228" s="450"/>
      <c r="LS228" s="450"/>
      <c r="LT228" s="450"/>
      <c r="LU228" s="450"/>
      <c r="LV228" s="450"/>
      <c r="LW228" s="450"/>
      <c r="LX228" s="450"/>
      <c r="LY228" s="450"/>
      <c r="LZ228" s="450"/>
      <c r="MA228" s="450"/>
      <c r="MB228" s="450"/>
      <c r="MC228" s="1706"/>
      <c r="MD228" s="1706"/>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205"/>
      <c r="N229" s="1"/>
      <c r="O229" s="1"/>
      <c r="P229" s="4"/>
      <c r="Q229" s="4"/>
      <c r="R229" s="3160"/>
      <c r="S229" s="3161"/>
      <c r="T229" s="3161"/>
      <c r="U229" s="3161"/>
      <c r="V229" s="3162"/>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1705"/>
      <c r="JW229" s="450"/>
      <c r="JX229" s="450"/>
      <c r="JY229" s="450"/>
      <c r="JZ229" s="450"/>
      <c r="KA229" s="1705"/>
      <c r="KB229" s="1705"/>
      <c r="KC229" s="1705"/>
      <c r="KD229" s="1705"/>
      <c r="KE229" s="1705"/>
      <c r="KF229" s="1705"/>
      <c r="KG229" s="1705"/>
      <c r="KH229" s="1705"/>
      <c r="KI229" s="1705"/>
      <c r="KJ229" s="1705"/>
      <c r="KK229" s="1705"/>
      <c r="KL229" s="1705"/>
      <c r="KM229" s="1705"/>
      <c r="KN229" s="1705"/>
      <c r="KO229" s="1705"/>
      <c r="KP229" s="1705"/>
      <c r="KQ229" s="1705"/>
      <c r="KR229" s="1705"/>
      <c r="KS229" s="1705"/>
      <c r="KT229" s="1705"/>
      <c r="KU229" s="1705"/>
      <c r="KV229" s="1705"/>
      <c r="KW229" s="1705"/>
      <c r="KX229" s="1705"/>
      <c r="KY229" s="1705"/>
      <c r="KZ229" s="1705"/>
      <c r="LA229" s="1705"/>
      <c r="LB229" s="1705"/>
      <c r="LC229" s="1705"/>
      <c r="LD229" s="1705"/>
      <c r="LE229" s="1705"/>
      <c r="LF229" s="1705"/>
      <c r="LG229" s="450"/>
      <c r="LH229" s="450"/>
      <c r="LI229" s="450"/>
      <c r="LJ229" s="450"/>
      <c r="LK229" s="450"/>
      <c r="LL229" s="450"/>
      <c r="LM229" s="1706"/>
      <c r="LN229" s="450"/>
      <c r="LO229" s="450"/>
      <c r="LP229" s="450"/>
      <c r="LQ229" s="450"/>
      <c r="LR229" s="450"/>
      <c r="LS229" s="450"/>
      <c r="LT229" s="450"/>
      <c r="LU229" s="450"/>
      <c r="LV229" s="450"/>
      <c r="LW229" s="450"/>
      <c r="LX229" s="450"/>
      <c r="LY229" s="450"/>
      <c r="LZ229" s="450"/>
      <c r="MA229" s="450"/>
      <c r="MB229" s="450"/>
      <c r="MC229" s="1706"/>
      <c r="MD229" s="1706"/>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1278</v>
      </c>
      <c r="C230" s="1"/>
      <c r="D230" s="8"/>
      <c r="E230" s="1"/>
      <c r="F230" s="1"/>
      <c r="G230" s="1"/>
      <c r="H230" s="1"/>
      <c r="I230" s="9" t="s">
        <v>1360</v>
      </c>
      <c r="J230" s="1733" t="s">
        <v>4680</v>
      </c>
      <c r="K230" s="1"/>
      <c r="L230" s="1"/>
      <c r="M230" s="1"/>
      <c r="N230" s="9" t="s">
        <v>3414</v>
      </c>
      <c r="O230" s="9"/>
      <c r="P230" s="2425">
        <f>P239</f>
        <v>21000</v>
      </c>
      <c r="Q230" s="874"/>
      <c r="R230" s="3160"/>
      <c r="S230" s="3161"/>
      <c r="T230" s="3161"/>
      <c r="U230" s="3161"/>
      <c r="V230" s="3162"/>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1705"/>
      <c r="JW230" s="450"/>
      <c r="JX230" s="450"/>
      <c r="JY230" s="450"/>
      <c r="JZ230" s="450"/>
      <c r="KA230" s="1705"/>
      <c r="KB230" s="1705"/>
      <c r="KC230" s="1705"/>
      <c r="KD230" s="1705"/>
      <c r="KE230" s="1705"/>
      <c r="KF230" s="1705"/>
      <c r="KG230" s="1705"/>
      <c r="KH230" s="1705"/>
      <c r="KI230" s="1705"/>
      <c r="KJ230" s="1705"/>
      <c r="KK230" s="1705"/>
      <c r="KL230" s="1705"/>
      <c r="KM230" s="1705"/>
      <c r="KN230" s="1705"/>
      <c r="KO230" s="1705"/>
      <c r="KP230" s="1705"/>
      <c r="KQ230" s="1705"/>
      <c r="KR230" s="1705"/>
      <c r="KS230" s="1705"/>
      <c r="KT230" s="1705"/>
      <c r="KU230" s="1705"/>
      <c r="KV230" s="1705"/>
      <c r="KW230" s="1705"/>
      <c r="KX230" s="1705"/>
      <c r="KY230" s="1705"/>
      <c r="KZ230" s="1705"/>
      <c r="LA230" s="1705"/>
      <c r="LB230" s="1705"/>
      <c r="LC230" s="1705"/>
      <c r="LD230" s="1705"/>
      <c r="LE230" s="1705"/>
      <c r="LF230" s="1705"/>
      <c r="LG230" s="450"/>
      <c r="LH230" s="450"/>
      <c r="LI230" s="450"/>
      <c r="LJ230" s="450"/>
      <c r="LK230" s="450"/>
      <c r="LL230" s="450"/>
      <c r="LM230" s="1706"/>
      <c r="LN230" s="450"/>
      <c r="LO230" s="450"/>
      <c r="LP230" s="450"/>
      <c r="LQ230" s="450"/>
      <c r="LR230" s="450"/>
      <c r="LS230" s="450"/>
      <c r="LT230" s="450"/>
      <c r="LU230" s="450"/>
      <c r="LV230" s="450"/>
      <c r="LW230" s="450"/>
      <c r="LX230" s="450"/>
      <c r="LY230" s="450"/>
      <c r="LZ230" s="450"/>
      <c r="MA230" s="450"/>
      <c r="MB230" s="450"/>
      <c r="MC230" s="1706"/>
      <c r="MD230" s="1706"/>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1585</v>
      </c>
      <c r="C231" s="1"/>
      <c r="D231" s="8"/>
      <c r="E231" s="1"/>
      <c r="F231" s="3191">
        <v>7500</v>
      </c>
      <c r="G231" s="3192"/>
      <c r="H231" s="1"/>
      <c r="I231" s="1" t="s">
        <v>1353</v>
      </c>
      <c r="J231" s="460">
        <f>K231/12/O67</f>
        <v>11.904761904761905</v>
      </c>
      <c r="K231" s="3193">
        <v>12000</v>
      </c>
      <c r="L231" s="3194"/>
      <c r="M231" s="3185" t="str">
        <f>IF(P230&lt;P239, "WARNING! RR proposed is below the DCA required minimum.","")</f>
        <v/>
      </c>
      <c r="N231" s="995" t="s">
        <v>4679</v>
      </c>
      <c r="O231" s="990"/>
      <c r="P231" s="996">
        <f>P230/O239</f>
        <v>250</v>
      </c>
      <c r="Q231" s="2426"/>
      <c r="R231" s="3160"/>
      <c r="S231" s="3161"/>
      <c r="T231" s="3161"/>
      <c r="U231" s="3161"/>
      <c r="V231" s="3162"/>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1705"/>
      <c r="JW231" s="450"/>
      <c r="JX231" s="450"/>
      <c r="JY231" s="450"/>
      <c r="JZ231" s="450"/>
      <c r="KA231" s="1705"/>
      <c r="KB231" s="1705"/>
      <c r="KC231" s="1705"/>
      <c r="KD231" s="1705"/>
      <c r="KE231" s="1705"/>
      <c r="KF231" s="1705"/>
      <c r="KG231" s="1705"/>
      <c r="KH231" s="1705"/>
      <c r="KI231" s="1705"/>
      <c r="KJ231" s="1705"/>
      <c r="KK231" s="1705"/>
      <c r="KL231" s="1705"/>
      <c r="KM231" s="1705"/>
      <c r="KN231" s="1705"/>
      <c r="KO231" s="1705"/>
      <c r="KP231" s="1705"/>
      <c r="KQ231" s="1705"/>
      <c r="KR231" s="1705"/>
      <c r="KS231" s="1705"/>
      <c r="KT231" s="1705"/>
      <c r="KU231" s="1705"/>
      <c r="KV231" s="1705"/>
      <c r="KW231" s="1705"/>
      <c r="KX231" s="1705"/>
      <c r="KY231" s="1705"/>
      <c r="KZ231" s="1705"/>
      <c r="LA231" s="1705"/>
      <c r="LB231" s="1705"/>
      <c r="LC231" s="1705"/>
      <c r="LD231" s="1705"/>
      <c r="LE231" s="1705"/>
      <c r="LF231" s="1705"/>
      <c r="LG231" s="450"/>
      <c r="LH231" s="450"/>
      <c r="LI231" s="450"/>
      <c r="LJ231" s="450"/>
      <c r="LK231" s="450"/>
      <c r="LL231" s="450"/>
      <c r="LM231" s="1706"/>
      <c r="LN231" s="450"/>
      <c r="LO231" s="450"/>
      <c r="LP231" s="450"/>
      <c r="LQ231" s="450"/>
      <c r="LR231" s="450"/>
      <c r="LS231" s="450"/>
      <c r="LT231" s="450"/>
      <c r="LU231" s="450"/>
      <c r="LV231" s="450"/>
      <c r="LW231" s="450"/>
      <c r="LX231" s="450"/>
      <c r="LY231" s="450"/>
      <c r="LZ231" s="450"/>
      <c r="MA231" s="450"/>
      <c r="MB231" s="450"/>
      <c r="MC231" s="1706"/>
      <c r="MD231" s="1706"/>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1586</v>
      </c>
      <c r="C232" s="1"/>
      <c r="D232" s="8"/>
      <c r="E232" s="1"/>
      <c r="F232" s="3195">
        <v>10000</v>
      </c>
      <c r="G232" s="3196"/>
      <c r="H232" s="1"/>
      <c r="I232" s="1" t="s">
        <v>1354</v>
      </c>
      <c r="J232" s="460">
        <f>K232/12/O67</f>
        <v>0</v>
      </c>
      <c r="K232" s="3197">
        <v>0</v>
      </c>
      <c r="L232" s="3198"/>
      <c r="M232" s="3185"/>
      <c r="N232" s="3186" t="s">
        <v>3632</v>
      </c>
      <c r="O232" s="3187"/>
      <c r="P232" s="3188"/>
      <c r="R232" s="3160"/>
      <c r="S232" s="3161"/>
      <c r="T232" s="3161"/>
      <c r="U232" s="3161"/>
      <c r="V232" s="3162"/>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1705"/>
      <c r="JW232" s="450"/>
      <c r="JX232" s="450"/>
      <c r="JY232" s="450"/>
      <c r="JZ232" s="450"/>
      <c r="KA232" s="1705"/>
      <c r="KB232" s="1705"/>
      <c r="KC232" s="1705"/>
      <c r="KD232" s="1705"/>
      <c r="KE232" s="1705"/>
      <c r="KF232" s="1705"/>
      <c r="KG232" s="1705"/>
      <c r="KH232" s="1705"/>
      <c r="KI232" s="1705"/>
      <c r="KJ232" s="1705"/>
      <c r="KK232" s="1705"/>
      <c r="KL232" s="1705"/>
      <c r="KM232" s="1705"/>
      <c r="KN232" s="1705"/>
      <c r="KO232" s="1705"/>
      <c r="KP232" s="1705"/>
      <c r="KQ232" s="1705"/>
      <c r="KR232" s="1705"/>
      <c r="KS232" s="1705"/>
      <c r="KT232" s="1705"/>
      <c r="KU232" s="1705"/>
      <c r="KV232" s="1705"/>
      <c r="KW232" s="1705"/>
      <c r="KX232" s="1705"/>
      <c r="KY232" s="1705"/>
      <c r="KZ232" s="1705"/>
      <c r="LA232" s="1705"/>
      <c r="LB232" s="1705"/>
      <c r="LC232" s="1705"/>
      <c r="LD232" s="1705"/>
      <c r="LE232" s="1705"/>
      <c r="LF232" s="1705"/>
      <c r="LG232" s="450"/>
      <c r="LH232" s="450"/>
      <c r="LI232" s="450"/>
      <c r="LJ232" s="450"/>
      <c r="LK232" s="450"/>
      <c r="LL232" s="450"/>
      <c r="LM232" s="1706"/>
      <c r="LN232" s="450"/>
      <c r="LO232" s="450"/>
      <c r="LP232" s="450"/>
      <c r="LQ232" s="450"/>
      <c r="LR232" s="450"/>
      <c r="LS232" s="450"/>
      <c r="LT232" s="450"/>
      <c r="LU232" s="450"/>
      <c r="LV232" s="450"/>
      <c r="LW232" s="450"/>
      <c r="LX232" s="450"/>
      <c r="LY232" s="450"/>
      <c r="LZ232" s="450"/>
      <c r="MA232" s="450"/>
      <c r="MB232" s="450"/>
      <c r="MC232" s="1706"/>
      <c r="MD232" s="1706"/>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1587</v>
      </c>
      <c r="C233" s="1"/>
      <c r="D233" s="8"/>
      <c r="E233" s="1"/>
      <c r="F233" s="3195">
        <v>12500</v>
      </c>
      <c r="G233" s="3196"/>
      <c r="H233" s="1"/>
      <c r="I233" s="1" t="s">
        <v>2323</v>
      </c>
      <c r="J233" s="460">
        <f>K233/12/O67</f>
        <v>8.0357142857142865</v>
      </c>
      <c r="K233" s="3197">
        <v>8100</v>
      </c>
      <c r="L233" s="3198"/>
      <c r="M233" s="3185"/>
      <c r="N233" s="989" t="s">
        <v>2675</v>
      </c>
      <c r="O233" s="870" t="s">
        <v>3721</v>
      </c>
      <c r="P233" s="991" t="s">
        <v>3373</v>
      </c>
      <c r="Q233" s="870"/>
      <c r="R233" s="3160"/>
      <c r="S233" s="3161"/>
      <c r="T233" s="3161"/>
      <c r="U233" s="3161"/>
      <c r="V233" s="3162"/>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1705"/>
      <c r="JW233" s="450"/>
      <c r="JX233" s="450"/>
      <c r="JY233" s="450"/>
      <c r="JZ233" s="450"/>
      <c r="KA233" s="1705"/>
      <c r="KB233" s="1705"/>
      <c r="KC233" s="1705"/>
      <c r="KD233" s="1705"/>
      <c r="KE233" s="1705"/>
      <c r="KF233" s="1705"/>
      <c r="KG233" s="1705"/>
      <c r="KH233" s="1705"/>
      <c r="KI233" s="1705"/>
      <c r="KJ233" s="1705"/>
      <c r="KK233" s="1705"/>
      <c r="KL233" s="1705"/>
      <c r="KM233" s="1705"/>
      <c r="KN233" s="1705"/>
      <c r="KO233" s="1705"/>
      <c r="KP233" s="1705"/>
      <c r="KQ233" s="1705"/>
      <c r="KR233" s="1705"/>
      <c r="KS233" s="1705"/>
      <c r="KT233" s="1705"/>
      <c r="KU233" s="1705"/>
      <c r="KV233" s="1705"/>
      <c r="KW233" s="1705"/>
      <c r="KX233" s="1705"/>
      <c r="KY233" s="1705"/>
      <c r="KZ233" s="1705"/>
      <c r="LA233" s="1705"/>
      <c r="LB233" s="1705"/>
      <c r="LC233" s="1705"/>
      <c r="LD233" s="1705"/>
      <c r="LE233" s="1705"/>
      <c r="LF233" s="1705"/>
      <c r="LG233" s="450"/>
      <c r="LH233" s="450"/>
      <c r="LI233" s="450"/>
      <c r="LJ233" s="450"/>
      <c r="LK233" s="450"/>
      <c r="LL233" s="450"/>
      <c r="LM233" s="1706"/>
      <c r="LN233" s="450"/>
      <c r="LO233" s="450"/>
      <c r="LP233" s="450"/>
      <c r="LQ233" s="450"/>
      <c r="LR233" s="450"/>
      <c r="LS233" s="450"/>
      <c r="LT233" s="450"/>
      <c r="LU233" s="450"/>
      <c r="LV233" s="450"/>
      <c r="LW233" s="450"/>
      <c r="LX233" s="450"/>
      <c r="LY233" s="450"/>
      <c r="LZ233" s="450"/>
      <c r="MA233" s="450"/>
      <c r="MB233" s="450"/>
      <c r="MC233" s="1706"/>
      <c r="MD233" s="1706"/>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990</v>
      </c>
      <c r="C234" s="1"/>
      <c r="D234" s="8"/>
      <c r="E234" s="1"/>
      <c r="F234" s="3176">
        <v>7500</v>
      </c>
      <c r="G234" s="3177"/>
      <c r="H234" s="1"/>
      <c r="I234" s="1" t="s">
        <v>1356</v>
      </c>
      <c r="J234" s="1"/>
      <c r="K234" s="3197">
        <v>12000</v>
      </c>
      <c r="L234" s="3198"/>
      <c r="M234" s="3185"/>
      <c r="N234" s="627" t="s">
        <v>37</v>
      </c>
      <c r="O234" s="628"/>
      <c r="P234" s="629"/>
      <c r="Q234" s="628"/>
      <c r="R234" s="3160"/>
      <c r="S234" s="3161"/>
      <c r="T234" s="3161"/>
      <c r="U234" s="3161"/>
      <c r="V234" s="3162"/>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1705"/>
      <c r="JW234" s="450"/>
      <c r="JX234" s="450"/>
      <c r="JY234" s="450"/>
      <c r="JZ234" s="450"/>
      <c r="KA234" s="1705"/>
      <c r="KB234" s="1705"/>
      <c r="KC234" s="1705"/>
      <c r="KD234" s="1705"/>
      <c r="KE234" s="1705"/>
      <c r="KF234" s="1705"/>
      <c r="KG234" s="1705"/>
      <c r="KH234" s="1705"/>
      <c r="KI234" s="1705"/>
      <c r="KJ234" s="1705"/>
      <c r="KK234" s="1705"/>
      <c r="KL234" s="1705"/>
      <c r="KM234" s="1705"/>
      <c r="KN234" s="1705"/>
      <c r="KO234" s="1705"/>
      <c r="KP234" s="1705"/>
      <c r="KQ234" s="1705"/>
      <c r="KR234" s="1705"/>
      <c r="KS234" s="1705"/>
      <c r="KT234" s="1705"/>
      <c r="KU234" s="1705"/>
      <c r="KV234" s="1705"/>
      <c r="KW234" s="1705"/>
      <c r="KX234" s="1705"/>
      <c r="KY234" s="1705"/>
      <c r="KZ234" s="1705"/>
      <c r="LA234" s="1705"/>
      <c r="LB234" s="1705"/>
      <c r="LC234" s="1705"/>
      <c r="LD234" s="1705"/>
      <c r="LE234" s="1705"/>
      <c r="LF234" s="1705"/>
      <c r="LG234" s="450"/>
      <c r="LH234" s="450"/>
      <c r="LI234" s="450"/>
      <c r="LJ234" s="450"/>
      <c r="LK234" s="450"/>
      <c r="LL234" s="450"/>
      <c r="LM234" s="1706"/>
      <c r="LN234" s="450"/>
      <c r="LO234" s="450"/>
      <c r="LP234" s="450"/>
      <c r="LQ234" s="450"/>
      <c r="LR234" s="450"/>
      <c r="LS234" s="450"/>
      <c r="LT234" s="450"/>
      <c r="LU234" s="450"/>
      <c r="LV234" s="450"/>
      <c r="LW234" s="450"/>
      <c r="LX234" s="450"/>
      <c r="LY234" s="450"/>
      <c r="LZ234" s="450"/>
      <c r="MA234" s="450"/>
      <c r="MB234" s="450"/>
      <c r="MC234" s="1706"/>
      <c r="MD234" s="1706"/>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991</v>
      </c>
      <c r="C235" s="1"/>
      <c r="D235" s="8"/>
      <c r="E235" s="1"/>
      <c r="F235" s="3176">
        <v>10000</v>
      </c>
      <c r="G235" s="3177"/>
      <c r="H235" s="1"/>
      <c r="I235" s="3199" t="s">
        <v>4889</v>
      </c>
      <c r="J235" s="3200"/>
      <c r="K235" s="3201">
        <v>3024</v>
      </c>
      <c r="L235" s="3202"/>
      <c r="M235" s="3185"/>
      <c r="N235" s="492" t="s">
        <v>3365</v>
      </c>
      <c r="O235" s="876" t="str">
        <f>CONCATENATE(SUM(ME48:MI48)," units x $",'DCA Underwriting Assumptions'!$Q$64," =")</f>
        <v>0 units x $350 =</v>
      </c>
      <c r="P235" s="630">
        <f>SUM(ME48:MI48)*'DCA Underwriting Assumptions'!$Q$64</f>
        <v>0</v>
      </c>
      <c r="Q235" s="876"/>
      <c r="R235" s="3160"/>
      <c r="S235" s="3161"/>
      <c r="T235" s="3161"/>
      <c r="U235" s="3161"/>
      <c r="V235" s="3162"/>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1705"/>
      <c r="JW235" s="450"/>
      <c r="JX235" s="450"/>
      <c r="JY235" s="450"/>
      <c r="JZ235" s="450"/>
      <c r="KA235" s="1705"/>
      <c r="KB235" s="1705"/>
      <c r="KC235" s="1705"/>
      <c r="KD235" s="1705"/>
      <c r="KE235" s="1705"/>
      <c r="KF235" s="1705"/>
      <c r="KG235" s="1705"/>
      <c r="KH235" s="1705"/>
      <c r="KI235" s="1705"/>
      <c r="KJ235" s="1705"/>
      <c r="KK235" s="1705"/>
      <c r="KL235" s="1705"/>
      <c r="KM235" s="1705"/>
      <c r="KN235" s="1705"/>
      <c r="KO235" s="1705"/>
      <c r="KP235" s="1705"/>
      <c r="KQ235" s="1705"/>
      <c r="KR235" s="1705"/>
      <c r="KS235" s="1705"/>
      <c r="KT235" s="1705"/>
      <c r="KU235" s="1705"/>
      <c r="KV235" s="1705"/>
      <c r="KW235" s="1705"/>
      <c r="KX235" s="1705"/>
      <c r="KY235" s="1705"/>
      <c r="KZ235" s="1705"/>
      <c r="LA235" s="1705"/>
      <c r="LB235" s="1705"/>
      <c r="LC235" s="1705"/>
      <c r="LD235" s="1705"/>
      <c r="LE235" s="1705"/>
      <c r="LF235" s="1705"/>
      <c r="LG235" s="450"/>
      <c r="LH235" s="450"/>
      <c r="LI235" s="450"/>
      <c r="LJ235" s="450"/>
      <c r="LK235" s="450"/>
      <c r="LL235" s="450"/>
      <c r="LM235" s="1706"/>
      <c r="LN235" s="450"/>
      <c r="LO235" s="450"/>
      <c r="LP235" s="450"/>
      <c r="LQ235" s="450"/>
      <c r="LR235" s="450"/>
      <c r="LS235" s="450"/>
      <c r="LT235" s="450"/>
      <c r="LU235" s="450"/>
      <c r="LV235" s="450"/>
      <c r="LW235" s="450"/>
      <c r="LX235" s="450"/>
      <c r="LY235" s="450"/>
      <c r="LZ235" s="450"/>
      <c r="MA235" s="450"/>
      <c r="MB235" s="450"/>
      <c r="MC235" s="1706"/>
      <c r="MD235" s="1706"/>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992</v>
      </c>
      <c r="C236" s="1"/>
      <c r="D236" s="8"/>
      <c r="E236" s="1"/>
      <c r="F236" s="3176">
        <v>0</v>
      </c>
      <c r="G236" s="3177"/>
      <c r="H236" s="1"/>
      <c r="I236" s="1"/>
      <c r="J236" s="10" t="s">
        <v>189</v>
      </c>
      <c r="K236" s="3203">
        <f>SUM(K231:K235)</f>
        <v>35124</v>
      </c>
      <c r="L236" s="3204"/>
      <c r="M236" s="3185"/>
      <c r="N236" s="492" t="s">
        <v>3364</v>
      </c>
      <c r="O236" s="876" t="str">
        <f>CONCATENATE(SUM(MJ48:MN48)," units x $",'DCA Underwriting Assumptions'!$Q$65," =")</f>
        <v>84 units x $250 =</v>
      </c>
      <c r="P236" s="630">
        <f>SUM(MJ48:MN48)*'DCA Underwriting Assumptions'!$Q$65</f>
        <v>21000</v>
      </c>
      <c r="Q236" s="876"/>
      <c r="R236" s="3160"/>
      <c r="S236" s="3161"/>
      <c r="T236" s="3161"/>
      <c r="U236" s="3161"/>
      <c r="V236" s="3162"/>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1705"/>
      <c r="JW236" s="450"/>
      <c r="JX236" s="450"/>
      <c r="JY236" s="450"/>
      <c r="JZ236" s="450"/>
      <c r="KA236" s="1705"/>
      <c r="KB236" s="1705"/>
      <c r="KC236" s="1705"/>
      <c r="KD236" s="1705"/>
      <c r="KE236" s="1705"/>
      <c r="KF236" s="1705"/>
      <c r="KG236" s="1705"/>
      <c r="KH236" s="1705"/>
      <c r="KI236" s="1705"/>
      <c r="KJ236" s="1705"/>
      <c r="KK236" s="1705"/>
      <c r="KL236" s="1705"/>
      <c r="KM236" s="1705"/>
      <c r="KN236" s="1705"/>
      <c r="KO236" s="1705"/>
      <c r="KP236" s="1705"/>
      <c r="KQ236" s="1705"/>
      <c r="KR236" s="1705"/>
      <c r="KS236" s="1705"/>
      <c r="KT236" s="1705"/>
      <c r="KU236" s="1705"/>
      <c r="KV236" s="1705"/>
      <c r="KW236" s="1705"/>
      <c r="KX236" s="1705"/>
      <c r="KY236" s="1705"/>
      <c r="KZ236" s="1705"/>
      <c r="LA236" s="1705"/>
      <c r="LB236" s="1705"/>
      <c r="LC236" s="1705"/>
      <c r="LD236" s="1705"/>
      <c r="LE236" s="1705"/>
      <c r="LF236" s="1705"/>
      <c r="LG236" s="450"/>
      <c r="LH236" s="450"/>
      <c r="LI236" s="450"/>
      <c r="LJ236" s="450"/>
      <c r="LK236" s="450"/>
      <c r="LL236" s="450"/>
      <c r="LM236" s="1706"/>
      <c r="LN236" s="450"/>
      <c r="LO236" s="450"/>
      <c r="LP236" s="450"/>
      <c r="LQ236" s="450"/>
      <c r="LR236" s="450"/>
      <c r="LS236" s="450"/>
      <c r="LT236" s="450"/>
      <c r="LU236" s="450"/>
      <c r="LV236" s="450"/>
      <c r="LW236" s="450"/>
      <c r="LX236" s="450"/>
      <c r="LY236" s="450"/>
      <c r="LZ236" s="450"/>
      <c r="MA236" s="450"/>
      <c r="MB236" s="450"/>
      <c r="MC236" s="1706"/>
      <c r="MD236" s="1706"/>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856</v>
      </c>
      <c r="C237" s="1"/>
      <c r="D237" s="8"/>
      <c r="E237" s="1"/>
      <c r="F237" s="3176">
        <v>3600</v>
      </c>
      <c r="G237" s="3177"/>
      <c r="H237" s="1"/>
      <c r="I237" s="1"/>
      <c r="J237" s="11"/>
      <c r="K237" s="1"/>
      <c r="L237" s="1"/>
      <c r="M237" s="3185"/>
      <c r="N237" s="631" t="s">
        <v>3368</v>
      </c>
      <c r="O237" s="876" t="str">
        <f>CONCATENATE(SUM(MO48:MS48)," units x $",'DCA Underwriting Assumptions'!$Q$66," =")</f>
        <v>0 units x $420 =</v>
      </c>
      <c r="P237" s="630">
        <f>SUM(MO48:MS48)*'DCA Underwriting Assumptions'!$Q$66</f>
        <v>0</v>
      </c>
      <c r="Q237" s="876"/>
      <c r="R237" s="3160"/>
      <c r="S237" s="3161"/>
      <c r="T237" s="3161"/>
      <c r="U237" s="3161"/>
      <c r="V237" s="3162"/>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1705"/>
      <c r="JW237" s="450"/>
      <c r="JX237" s="450"/>
      <c r="JY237" s="450"/>
      <c r="JZ237" s="450"/>
      <c r="KA237" s="1705"/>
      <c r="KB237" s="1705"/>
      <c r="KC237" s="1705"/>
      <c r="KD237" s="1705"/>
      <c r="KE237" s="1705"/>
      <c r="KF237" s="1705"/>
      <c r="KG237" s="1705"/>
      <c r="KH237" s="1705"/>
      <c r="KI237" s="1705"/>
      <c r="KJ237" s="1705"/>
      <c r="KK237" s="1705"/>
      <c r="KL237" s="1705"/>
      <c r="KM237" s="1705"/>
      <c r="KN237" s="1705"/>
      <c r="KO237" s="1705"/>
      <c r="KP237" s="1705"/>
      <c r="KQ237" s="1705"/>
      <c r="KR237" s="1705"/>
      <c r="KS237" s="1705"/>
      <c r="KT237" s="1705"/>
      <c r="KU237" s="1705"/>
      <c r="KV237" s="1705"/>
      <c r="KW237" s="1705"/>
      <c r="KX237" s="1705"/>
      <c r="KY237" s="1705"/>
      <c r="KZ237" s="1705"/>
      <c r="LA237" s="1705"/>
      <c r="LB237" s="1705"/>
      <c r="LC237" s="1705"/>
      <c r="LD237" s="1705"/>
      <c r="LE237" s="1705"/>
      <c r="LF237" s="1705"/>
      <c r="LG237" s="450"/>
      <c r="LH237" s="450"/>
      <c r="LI237" s="450"/>
      <c r="LJ237" s="450"/>
      <c r="LK237" s="450"/>
      <c r="LL237" s="450"/>
      <c r="LM237" s="1706"/>
      <c r="LN237" s="450"/>
      <c r="LO237" s="450"/>
      <c r="LP237" s="450"/>
      <c r="LQ237" s="450"/>
      <c r="LR237" s="450"/>
      <c r="LS237" s="450"/>
      <c r="LT237" s="450"/>
      <c r="LU237" s="450"/>
      <c r="LV237" s="450"/>
      <c r="LW237" s="450"/>
      <c r="LX237" s="450"/>
      <c r="LY237" s="450"/>
      <c r="LZ237" s="450"/>
      <c r="MA237" s="450"/>
      <c r="MB237" s="450"/>
      <c r="MC237" s="1706"/>
      <c r="MD237" s="1706"/>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178" t="s">
        <v>4888</v>
      </c>
      <c r="C238" s="3179"/>
      <c r="D238" s="3179"/>
      <c r="E238" s="3180"/>
      <c r="F238" s="3181">
        <v>15000</v>
      </c>
      <c r="G238" s="3182"/>
      <c r="H238" s="1"/>
      <c r="I238" s="1"/>
      <c r="J238" s="11"/>
      <c r="K238" s="1"/>
      <c r="L238" s="1"/>
      <c r="M238" s="1"/>
      <c r="N238" s="631" t="s">
        <v>3363</v>
      </c>
      <c r="O238" s="876" t="str">
        <f>CONCATENATE(O113," units x $",'DCA Underwriting Assumptions'!$Q$66," =")</f>
        <v>0 units x $420 =</v>
      </c>
      <c r="P238" s="630">
        <f>O113*'DCA Underwriting Assumptions'!$Q$66</f>
        <v>0</v>
      </c>
      <c r="Q238" s="876"/>
      <c r="R238" s="3160"/>
      <c r="S238" s="3161"/>
      <c r="T238" s="3161"/>
      <c r="U238" s="3161"/>
      <c r="V238" s="3162"/>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1705"/>
      <c r="JW238" s="450"/>
      <c r="JX238" s="450"/>
      <c r="JY238" s="450"/>
      <c r="JZ238" s="450"/>
      <c r="KA238" s="1705"/>
      <c r="KB238" s="1705"/>
      <c r="KC238" s="1705"/>
      <c r="KD238" s="1705"/>
      <c r="KE238" s="1705"/>
      <c r="KF238" s="1705"/>
      <c r="KG238" s="1705"/>
      <c r="KH238" s="1705"/>
      <c r="KI238" s="1705"/>
      <c r="KJ238" s="1705"/>
      <c r="KK238" s="1705"/>
      <c r="KL238" s="1705"/>
      <c r="KM238" s="1705"/>
      <c r="KN238" s="1705"/>
      <c r="KO238" s="1705"/>
      <c r="KP238" s="1705"/>
      <c r="KQ238" s="1705"/>
      <c r="KR238" s="1705"/>
      <c r="KS238" s="1705"/>
      <c r="KT238" s="1705"/>
      <c r="KU238" s="1705"/>
      <c r="KV238" s="1705"/>
      <c r="KW238" s="1705"/>
      <c r="KX238" s="1705"/>
      <c r="KY238" s="1705"/>
      <c r="KZ238" s="1705"/>
      <c r="LA238" s="1705"/>
      <c r="LB238" s="1705"/>
      <c r="LC238" s="1705"/>
      <c r="LD238" s="1705"/>
      <c r="LE238" s="1705"/>
      <c r="LF238" s="1705"/>
      <c r="LG238" s="450"/>
      <c r="LH238" s="450"/>
      <c r="LI238" s="450"/>
      <c r="LJ238" s="450"/>
      <c r="LK238" s="450"/>
      <c r="LL238" s="450"/>
      <c r="LM238" s="1706"/>
      <c r="LN238" s="450"/>
      <c r="LO238" s="450"/>
      <c r="LP238" s="450"/>
      <c r="LQ238" s="450"/>
      <c r="LR238" s="450"/>
      <c r="LS238" s="450"/>
      <c r="LT238" s="450"/>
      <c r="LU238" s="450"/>
      <c r="LV238" s="450"/>
      <c r="LW238" s="450"/>
      <c r="LX238" s="450"/>
      <c r="LY238" s="450"/>
      <c r="LZ238" s="450"/>
      <c r="MA238" s="450"/>
      <c r="MB238" s="450"/>
      <c r="MC238" s="1706"/>
      <c r="MD238" s="1706"/>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189</v>
      </c>
      <c r="D239" s="1"/>
      <c r="E239" s="1"/>
      <c r="F239" s="3183">
        <f>SUM(F231:G238)</f>
        <v>66100</v>
      </c>
      <c r="G239" s="3184"/>
      <c r="H239" s="1"/>
      <c r="I239" s="1"/>
      <c r="J239" s="11"/>
      <c r="K239" s="1"/>
      <c r="L239" s="1"/>
      <c r="M239" s="1"/>
      <c r="N239" s="992" t="s">
        <v>2678</v>
      </c>
      <c r="O239" s="993">
        <f>SUM(ME48:MI48)+SUM(MJ48:MN48)+SUM(MO48:MS48)+O113</f>
        <v>84</v>
      </c>
      <c r="P239" s="994">
        <f>SUM(P235:P238)</f>
        <v>21000</v>
      </c>
      <c r="Q239" s="876"/>
      <c r="R239" s="3164"/>
      <c r="S239" s="3165"/>
      <c r="T239" s="3165"/>
      <c r="U239" s="3165"/>
      <c r="V239" s="3166"/>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1705"/>
      <c r="JW239" s="450"/>
      <c r="JX239" s="450"/>
      <c r="JY239" s="450"/>
      <c r="JZ239" s="450"/>
      <c r="KA239" s="1705"/>
      <c r="KB239" s="1705"/>
      <c r="KC239" s="1705"/>
      <c r="KD239" s="1705"/>
      <c r="KE239" s="1705"/>
      <c r="KF239" s="1705"/>
      <c r="KG239" s="1705"/>
      <c r="KH239" s="1705"/>
      <c r="KI239" s="1705"/>
      <c r="KJ239" s="1705"/>
      <c r="KK239" s="1705"/>
      <c r="KL239" s="1705"/>
      <c r="KM239" s="1705"/>
      <c r="KN239" s="1705"/>
      <c r="KO239" s="1705"/>
      <c r="KP239" s="1705"/>
      <c r="KQ239" s="1705"/>
      <c r="KR239" s="1705"/>
      <c r="KS239" s="1705"/>
      <c r="KT239" s="1705"/>
      <c r="KU239" s="1705"/>
      <c r="KV239" s="1705"/>
      <c r="KW239" s="1705"/>
      <c r="KX239" s="1705"/>
      <c r="KY239" s="1705"/>
      <c r="KZ239" s="1705"/>
      <c r="LA239" s="1705"/>
      <c r="LB239" s="1705"/>
      <c r="LC239" s="1705"/>
      <c r="LD239" s="1705"/>
      <c r="LE239" s="1705"/>
      <c r="LF239" s="1705"/>
      <c r="LG239" s="450"/>
      <c r="LH239" s="450"/>
      <c r="LI239" s="450"/>
      <c r="LJ239" s="450"/>
      <c r="LK239" s="450"/>
      <c r="LL239" s="450"/>
      <c r="LM239" s="1706"/>
      <c r="LN239" s="450"/>
      <c r="LO239" s="450"/>
      <c r="LP239" s="450"/>
      <c r="LQ239" s="450"/>
      <c r="LR239" s="450"/>
      <c r="LS239" s="450"/>
      <c r="LT239" s="450"/>
      <c r="LU239" s="450"/>
      <c r="LV239" s="450"/>
      <c r="LW239" s="450"/>
      <c r="LX239" s="450"/>
      <c r="LY239" s="450"/>
      <c r="LZ239" s="450"/>
      <c r="MA239" s="450"/>
      <c r="MB239" s="450"/>
      <c r="MC239" s="1706"/>
      <c r="MD239" s="1706"/>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1705"/>
      <c r="JW240" s="450"/>
      <c r="JX240" s="450"/>
      <c r="JY240" s="450"/>
      <c r="JZ240" s="450"/>
      <c r="KA240" s="1705"/>
      <c r="KB240" s="1705"/>
      <c r="KC240" s="1705"/>
      <c r="KD240" s="1705"/>
      <c r="KE240" s="1705"/>
      <c r="KF240" s="1705"/>
      <c r="KG240" s="1705"/>
      <c r="KH240" s="1705"/>
      <c r="KI240" s="1705"/>
      <c r="KJ240" s="1705"/>
      <c r="KK240" s="1705"/>
      <c r="KL240" s="1705"/>
      <c r="KM240" s="1705"/>
      <c r="KN240" s="1705"/>
      <c r="KO240" s="1705"/>
      <c r="KP240" s="1705"/>
      <c r="KQ240" s="1705"/>
      <c r="KR240" s="1705"/>
      <c r="KS240" s="1705"/>
      <c r="KT240" s="1705"/>
      <c r="KU240" s="1705"/>
      <c r="KV240" s="1705"/>
      <c r="KW240" s="1705"/>
      <c r="KX240" s="1705"/>
      <c r="KY240" s="1705"/>
      <c r="KZ240" s="1705"/>
      <c r="LA240" s="1705"/>
      <c r="LB240" s="1705"/>
      <c r="LC240" s="1705"/>
      <c r="LD240" s="1705"/>
      <c r="LE240" s="1705"/>
      <c r="LF240" s="1705"/>
      <c r="LG240" s="450"/>
      <c r="LH240" s="450"/>
      <c r="LI240" s="450"/>
      <c r="LJ240" s="450"/>
      <c r="LK240" s="450"/>
      <c r="LL240" s="450"/>
      <c r="LM240" s="1706"/>
      <c r="LN240" s="450"/>
      <c r="LO240" s="450"/>
      <c r="LP240" s="450"/>
      <c r="LQ240" s="450"/>
      <c r="LR240" s="450"/>
      <c r="LS240" s="450"/>
      <c r="LT240" s="450"/>
      <c r="LU240" s="450"/>
      <c r="LV240" s="450"/>
      <c r="LW240" s="450"/>
      <c r="LX240" s="450"/>
      <c r="LY240" s="450"/>
      <c r="LZ240" s="450"/>
      <c r="MA240" s="450"/>
      <c r="MB240" s="450"/>
      <c r="MC240" s="1706"/>
      <c r="MD240" s="1706"/>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2160</v>
      </c>
      <c r="O241" s="1"/>
      <c r="P241" s="403">
        <f>P226+P230</f>
        <v>477174</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1705"/>
      <c r="JW241" s="450"/>
      <c r="JX241" s="450"/>
      <c r="JY241" s="450"/>
      <c r="JZ241" s="450"/>
      <c r="KA241" s="1705"/>
      <c r="KB241" s="1705"/>
      <c r="KC241" s="1705"/>
      <c r="KD241" s="1705"/>
      <c r="KE241" s="1705"/>
      <c r="KF241" s="1705"/>
      <c r="KG241" s="1705"/>
      <c r="KH241" s="1705"/>
      <c r="KI241" s="1705"/>
      <c r="KJ241" s="1705"/>
      <c r="KK241" s="1705"/>
      <c r="KL241" s="1705"/>
      <c r="KM241" s="1705"/>
      <c r="KN241" s="1705"/>
      <c r="KO241" s="1705"/>
      <c r="KP241" s="1705"/>
      <c r="KQ241" s="1705"/>
      <c r="KR241" s="1705"/>
      <c r="KS241" s="1705"/>
      <c r="KT241" s="1705"/>
      <c r="KU241" s="1705"/>
      <c r="KV241" s="1705"/>
      <c r="KW241" s="1705"/>
      <c r="KX241" s="1705"/>
      <c r="KY241" s="1705"/>
      <c r="KZ241" s="1705"/>
      <c r="LA241" s="1705"/>
      <c r="LB241" s="1705"/>
      <c r="LC241" s="1705"/>
      <c r="LD241" s="1705"/>
      <c r="LE241" s="1705"/>
      <c r="LF241" s="1705"/>
      <c r="LG241" s="450"/>
      <c r="LH241" s="450"/>
      <c r="LI241" s="450"/>
      <c r="LJ241" s="450"/>
      <c r="LK241" s="450"/>
      <c r="LL241" s="450"/>
      <c r="LM241" s="1706"/>
      <c r="LN241" s="450"/>
      <c r="LO241" s="450"/>
      <c r="LP241" s="450"/>
      <c r="LQ241" s="450"/>
      <c r="LR241" s="450"/>
      <c r="LS241" s="450"/>
      <c r="LT241" s="450"/>
      <c r="LU241" s="450"/>
      <c r="LV241" s="450"/>
      <c r="LW241" s="450"/>
      <c r="LX241" s="450"/>
      <c r="LY241" s="450"/>
      <c r="LZ241" s="450"/>
      <c r="MA241" s="450"/>
      <c r="MB241" s="450"/>
      <c r="MC241" s="1706"/>
      <c r="MD241" s="1706"/>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1705"/>
      <c r="JW242" s="450"/>
      <c r="JX242" s="450"/>
      <c r="JY242" s="450"/>
      <c r="JZ242" s="450"/>
      <c r="KA242" s="1705"/>
      <c r="KB242" s="1705"/>
      <c r="KC242" s="1705"/>
      <c r="KD242" s="1705"/>
      <c r="KE242" s="1705"/>
      <c r="KF242" s="1705"/>
      <c r="KG242" s="1705"/>
      <c r="KH242" s="1705"/>
      <c r="KI242" s="1705"/>
      <c r="KJ242" s="1705"/>
      <c r="KK242" s="1705"/>
      <c r="KL242" s="1705"/>
      <c r="KM242" s="1705"/>
      <c r="KN242" s="1705"/>
      <c r="KO242" s="1705"/>
      <c r="KP242" s="1705"/>
      <c r="KQ242" s="1705"/>
      <c r="KR242" s="1705"/>
      <c r="KS242" s="1705"/>
      <c r="KT242" s="1705"/>
      <c r="KU242" s="1705"/>
      <c r="KV242" s="1705"/>
      <c r="KW242" s="1705"/>
      <c r="KX242" s="1705"/>
      <c r="KY242" s="1705"/>
      <c r="KZ242" s="1705"/>
      <c r="LA242" s="1705"/>
      <c r="LB242" s="1705"/>
      <c r="LC242" s="1705"/>
      <c r="LD242" s="1705"/>
      <c r="LE242" s="1705"/>
      <c r="LF242" s="1705"/>
      <c r="LG242" s="450"/>
      <c r="LH242" s="450"/>
      <c r="LI242" s="450"/>
      <c r="LJ242" s="450"/>
      <c r="LK242" s="450"/>
      <c r="LL242" s="450"/>
      <c r="LM242" s="1706"/>
      <c r="LN242" s="450"/>
      <c r="LO242" s="450"/>
      <c r="LP242" s="450"/>
      <c r="LQ242" s="450"/>
      <c r="LR242" s="450"/>
      <c r="LS242" s="450"/>
      <c r="LT242" s="450"/>
      <c r="LU242" s="450"/>
      <c r="LV242" s="450"/>
      <c r="LW242" s="450"/>
      <c r="LX242" s="450"/>
      <c r="LY242" s="450"/>
      <c r="LZ242" s="450"/>
      <c r="MA242" s="450"/>
      <c r="MB242" s="450"/>
      <c r="MC242" s="1706"/>
      <c r="MD242" s="1706"/>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1772</v>
      </c>
      <c r="B243" s="9" t="s">
        <v>4665</v>
      </c>
      <c r="C243" s="10"/>
      <c r="D243" s="1"/>
      <c r="E243" s="1"/>
      <c r="F243" s="1618" t="s">
        <v>4666</v>
      </c>
      <c r="G243" s="11"/>
      <c r="H243" s="3235"/>
      <c r="I243" s="3236"/>
      <c r="J243" s="1703" t="s">
        <v>4741</v>
      </c>
      <c r="K243" s="2427"/>
      <c r="N243" s="9" t="s">
        <v>4669</v>
      </c>
      <c r="O243" s="1"/>
      <c r="P243" s="2428">
        <f>H243*K243</f>
        <v>0</v>
      </c>
      <c r="Q243" s="873"/>
      <c r="R243" s="3151"/>
      <c r="S243" s="3152"/>
      <c r="T243" s="3152"/>
      <c r="U243" s="3152"/>
      <c r="V243" s="3153"/>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1705"/>
      <c r="JW243" s="450"/>
      <c r="JX243" s="450"/>
      <c r="JY243" s="450"/>
      <c r="JZ243" s="450"/>
      <c r="KA243" s="1705"/>
      <c r="KB243" s="1705"/>
      <c r="KC243" s="1705"/>
      <c r="KD243" s="1705"/>
      <c r="KE243" s="1705"/>
      <c r="KF243" s="1705"/>
      <c r="KG243" s="1705"/>
      <c r="KH243" s="1705"/>
      <c r="KI243" s="1705"/>
      <c r="KJ243" s="1705"/>
      <c r="KK243" s="1705"/>
      <c r="KL243" s="1705"/>
      <c r="KM243" s="1705"/>
      <c r="KN243" s="1705"/>
      <c r="KO243" s="1705"/>
      <c r="KP243" s="1705"/>
      <c r="KQ243" s="1705"/>
      <c r="KR243" s="1705"/>
      <c r="KS243" s="1705"/>
      <c r="KT243" s="1705"/>
      <c r="KU243" s="1705"/>
      <c r="KV243" s="1705"/>
      <c r="KW243" s="1705"/>
      <c r="KX243" s="1705"/>
      <c r="KY243" s="1705"/>
      <c r="KZ243" s="1705"/>
      <c r="LA243" s="1705"/>
      <c r="LB243" s="1705"/>
      <c r="LC243" s="1705"/>
      <c r="LD243" s="1705"/>
      <c r="LE243" s="1705"/>
      <c r="LF243" s="1705"/>
      <c r="LG243" s="450"/>
      <c r="LH243" s="450"/>
      <c r="LI243" s="450"/>
      <c r="LJ243" s="450"/>
      <c r="LK243" s="450"/>
      <c r="LL243" s="450"/>
      <c r="LM243" s="1706"/>
      <c r="LN243" s="450"/>
      <c r="LO243" s="450"/>
      <c r="LP243" s="450"/>
      <c r="LQ243" s="450"/>
      <c r="LR243" s="450"/>
      <c r="LS243" s="450"/>
      <c r="LT243" s="450"/>
      <c r="LU243" s="450"/>
      <c r="LV243" s="450"/>
      <c r="LW243" s="450"/>
      <c r="LX243" s="450"/>
      <c r="LY243" s="450"/>
      <c r="LZ243" s="450"/>
      <c r="MA243" s="450"/>
      <c r="MB243" s="450"/>
      <c r="MC243" s="1706"/>
      <c r="MD243" s="1706"/>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1705"/>
      <c r="JW244" s="450"/>
      <c r="JX244" s="450"/>
      <c r="JY244" s="450"/>
      <c r="JZ244" s="450"/>
      <c r="KA244" s="1705"/>
      <c r="KB244" s="1705"/>
      <c r="KC244" s="1705"/>
      <c r="KD244" s="1705"/>
      <c r="KE244" s="1705"/>
      <c r="KF244" s="1705"/>
      <c r="KG244" s="1705"/>
      <c r="KH244" s="1705"/>
      <c r="KI244" s="1705"/>
      <c r="KJ244" s="1705"/>
      <c r="KK244" s="1705"/>
      <c r="KL244" s="1705"/>
      <c r="KM244" s="1705"/>
      <c r="KN244" s="1705"/>
      <c r="KO244" s="1705"/>
      <c r="KP244" s="1705"/>
      <c r="KQ244" s="1705"/>
      <c r="KR244" s="1705"/>
      <c r="KS244" s="1705"/>
      <c r="KT244" s="1705"/>
      <c r="KU244" s="1705"/>
      <c r="KV244" s="1705"/>
      <c r="KW244" s="1705"/>
      <c r="KX244" s="1705"/>
      <c r="KY244" s="1705"/>
      <c r="KZ244" s="1705"/>
      <c r="LA244" s="1705"/>
      <c r="LB244" s="1705"/>
      <c r="LC244" s="1705"/>
      <c r="LD244" s="1705"/>
      <c r="LE244" s="1705"/>
      <c r="LF244" s="1705"/>
      <c r="LG244" s="450"/>
      <c r="LH244" s="450"/>
      <c r="LI244" s="450"/>
      <c r="LJ244" s="450"/>
      <c r="LK244" s="450"/>
      <c r="LL244" s="450"/>
      <c r="LM244" s="1706"/>
      <c r="LN244" s="450"/>
      <c r="LO244" s="450"/>
      <c r="LP244" s="450"/>
      <c r="LQ244" s="450"/>
      <c r="LR244" s="450"/>
      <c r="LS244" s="450"/>
      <c r="LT244" s="450"/>
      <c r="LU244" s="450"/>
      <c r="LV244" s="450"/>
      <c r="LW244" s="450"/>
      <c r="LX244" s="450"/>
      <c r="LY244" s="450"/>
      <c r="LZ244" s="450"/>
      <c r="MA244" s="450"/>
      <c r="MB244" s="450"/>
      <c r="MC244" s="1706"/>
      <c r="MD244" s="1706"/>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4742</v>
      </c>
      <c r="C245" s="10"/>
      <c r="D245" s="1"/>
      <c r="E245" s="1"/>
      <c r="F245" s="11"/>
      <c r="G245" s="11"/>
      <c r="H245" s="1"/>
      <c r="I245" s="2354" t="s">
        <v>1749</v>
      </c>
      <c r="J245" s="1618" t="s">
        <v>4744</v>
      </c>
      <c r="K245" s="2354" t="s">
        <v>1749</v>
      </c>
      <c r="L245" s="72" t="s">
        <v>4745</v>
      </c>
      <c r="M245" s="2427"/>
      <c r="N245" s="469" t="s">
        <v>4743</v>
      </c>
      <c r="O245" s="1"/>
      <c r="P245" s="2429"/>
      <c r="Q245" s="873"/>
      <c r="R245" s="3151"/>
      <c r="S245" s="3152"/>
      <c r="T245" s="3152"/>
      <c r="U245" s="3152"/>
      <c r="V245" s="3153"/>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1705"/>
      <c r="JW245" s="450"/>
      <c r="JX245" s="450"/>
      <c r="JY245" s="450"/>
      <c r="JZ245" s="450"/>
      <c r="KA245" s="1705"/>
      <c r="KB245" s="1705"/>
      <c r="KC245" s="1705"/>
      <c r="KD245" s="1705"/>
      <c r="KE245" s="1705"/>
      <c r="KF245" s="1705"/>
      <c r="KG245" s="1705"/>
      <c r="KH245" s="1705"/>
      <c r="KI245" s="1705"/>
      <c r="KJ245" s="1705"/>
      <c r="KK245" s="1705"/>
      <c r="KL245" s="1705"/>
      <c r="KM245" s="1705"/>
      <c r="KN245" s="1705"/>
      <c r="KO245" s="1705"/>
      <c r="KP245" s="1705"/>
      <c r="KQ245" s="1705"/>
      <c r="KR245" s="1705"/>
      <c r="KS245" s="1705"/>
      <c r="KT245" s="1705"/>
      <c r="KU245" s="1705"/>
      <c r="KV245" s="1705"/>
      <c r="KW245" s="1705"/>
      <c r="KX245" s="1705"/>
      <c r="KY245" s="1705"/>
      <c r="KZ245" s="1705"/>
      <c r="LA245" s="1705"/>
      <c r="LB245" s="1705"/>
      <c r="LC245" s="1705"/>
      <c r="LD245" s="1705"/>
      <c r="LE245" s="1705"/>
      <c r="LF245" s="1705"/>
      <c r="LG245" s="450"/>
      <c r="LH245" s="450"/>
      <c r="LI245" s="450"/>
      <c r="LJ245" s="450"/>
      <c r="LK245" s="450"/>
      <c r="LL245" s="450"/>
      <c r="LM245" s="1706"/>
      <c r="LN245" s="450"/>
      <c r="LO245" s="450"/>
      <c r="LP245" s="450"/>
      <c r="LQ245" s="450"/>
      <c r="LR245" s="450"/>
      <c r="LS245" s="450"/>
      <c r="LT245" s="450"/>
      <c r="LU245" s="450"/>
      <c r="LV245" s="450"/>
      <c r="LW245" s="450"/>
      <c r="LX245" s="450"/>
      <c r="LY245" s="450"/>
      <c r="LZ245" s="450"/>
      <c r="MA245" s="450"/>
      <c r="MB245" s="450"/>
      <c r="MC245" s="1706"/>
      <c r="MD245" s="1706"/>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1705"/>
      <c r="JW246" s="450"/>
      <c r="JX246" s="450"/>
      <c r="JY246" s="450"/>
      <c r="JZ246" s="450"/>
      <c r="KA246" s="1705"/>
      <c r="KB246" s="1705"/>
      <c r="KC246" s="1705"/>
      <c r="KD246" s="1705"/>
      <c r="KE246" s="1705"/>
      <c r="KF246" s="1705"/>
      <c r="KG246" s="1705"/>
      <c r="KH246" s="1705"/>
      <c r="KI246" s="1705"/>
      <c r="KJ246" s="1705"/>
      <c r="KK246" s="1705"/>
      <c r="KL246" s="1705"/>
      <c r="KM246" s="1705"/>
      <c r="KN246" s="1705"/>
      <c r="KO246" s="1705"/>
      <c r="KP246" s="1705"/>
      <c r="KQ246" s="1705"/>
      <c r="KR246" s="1705"/>
      <c r="KS246" s="1705"/>
      <c r="KT246" s="1705"/>
      <c r="KU246" s="1705"/>
      <c r="KV246" s="1705"/>
      <c r="KW246" s="1705"/>
      <c r="KX246" s="1705"/>
      <c r="KY246" s="1705"/>
      <c r="KZ246" s="1705"/>
      <c r="LA246" s="1705"/>
      <c r="LB246" s="1705"/>
      <c r="LC246" s="1705"/>
      <c r="LD246" s="1705"/>
      <c r="LE246" s="1705"/>
      <c r="LF246" s="1705"/>
      <c r="LG246" s="450"/>
      <c r="LH246" s="450"/>
      <c r="LI246" s="450"/>
      <c r="LJ246" s="450"/>
      <c r="LK246" s="450"/>
      <c r="LL246" s="450"/>
      <c r="LM246" s="1706"/>
      <c r="LN246" s="450"/>
      <c r="LO246" s="450"/>
      <c r="LP246" s="450"/>
      <c r="LQ246" s="450"/>
      <c r="LR246" s="450"/>
      <c r="LS246" s="450"/>
      <c r="LT246" s="450"/>
      <c r="LU246" s="450"/>
      <c r="LV246" s="450"/>
      <c r="LW246" s="450"/>
      <c r="LX246" s="450"/>
      <c r="LY246" s="450"/>
      <c r="LZ246" s="450"/>
      <c r="MA246" s="450"/>
      <c r="MB246" s="450"/>
      <c r="MC246" s="1706"/>
      <c r="MD246" s="1706"/>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3922</v>
      </c>
      <c r="B247" s="12" t="s">
        <v>562</v>
      </c>
      <c r="M247" s="12" t="s">
        <v>4664</v>
      </c>
      <c r="N247" s="12"/>
    </row>
    <row r="248" spans="1:492" ht="408.75" customHeight="1">
      <c r="A248" s="2838" t="s">
        <v>5009</v>
      </c>
      <c r="B248" s="2838"/>
      <c r="C248" s="2838"/>
      <c r="D248" s="2838"/>
      <c r="E248" s="2838"/>
      <c r="F248" s="2838"/>
      <c r="G248" s="2838"/>
      <c r="H248" s="2838"/>
      <c r="I248" s="2838"/>
      <c r="J248" s="2838"/>
      <c r="K248" s="2838"/>
      <c r="L248" s="2838"/>
      <c r="M248" s="2837"/>
      <c r="N248" s="2837"/>
      <c r="O248" s="2837"/>
      <c r="P248" s="2837"/>
      <c r="Q248" s="3173" t="s">
        <v>3921</v>
      </c>
      <c r="R248" s="2538"/>
      <c r="S248" s="2538"/>
      <c r="T248" s="2538"/>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1705"/>
      <c r="JW253" s="450"/>
      <c r="JX253" s="450"/>
      <c r="JY253" s="450"/>
      <c r="JZ253" s="450"/>
      <c r="KA253" s="1705"/>
      <c r="KB253" s="1705"/>
      <c r="KC253" s="1705"/>
      <c r="KD253" s="1705"/>
      <c r="KE253" s="1705"/>
      <c r="KF253" s="1705"/>
      <c r="KG253" s="1705"/>
      <c r="KH253" s="1705"/>
      <c r="KI253" s="1705"/>
      <c r="KJ253" s="1705"/>
      <c r="KK253" s="1705"/>
      <c r="KL253" s="1705"/>
      <c r="KM253" s="1705"/>
      <c r="KN253" s="1705"/>
      <c r="KO253" s="1705"/>
      <c r="KP253" s="1705"/>
      <c r="KQ253" s="1705"/>
      <c r="KR253" s="1705"/>
      <c r="KS253" s="1705"/>
      <c r="KT253" s="1705"/>
      <c r="KU253" s="1705"/>
      <c r="KV253" s="1705"/>
      <c r="KW253" s="1705"/>
      <c r="KX253" s="1705"/>
      <c r="KY253" s="1705"/>
      <c r="KZ253" s="1705"/>
      <c r="LA253" s="1705"/>
      <c r="LB253" s="1705"/>
      <c r="LC253" s="1705"/>
      <c r="LD253" s="1705"/>
      <c r="LE253" s="1705"/>
      <c r="LF253" s="1705"/>
      <c r="LG253" s="450"/>
      <c r="LH253" s="450"/>
      <c r="LI253" s="450"/>
      <c r="LJ253" s="450"/>
      <c r="LK253" s="450"/>
      <c r="LL253" s="450"/>
      <c r="LM253" s="1706"/>
      <c r="LN253" s="450"/>
      <c r="LO253" s="450"/>
      <c r="LP253" s="450"/>
      <c r="LQ253" s="450"/>
      <c r="LR253" s="450"/>
      <c r="LS253" s="450"/>
      <c r="LT253" s="450"/>
      <c r="LU253" s="450"/>
      <c r="LV253" s="450"/>
      <c r="LW253" s="450"/>
      <c r="LX253" s="450"/>
      <c r="LY253" s="450"/>
      <c r="LZ253" s="450"/>
      <c r="MA253" s="450"/>
      <c r="MB253" s="450"/>
      <c r="MC253" s="1706"/>
      <c r="MD253" s="1706"/>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1705"/>
      <c r="JW254" s="450"/>
      <c r="JX254" s="450"/>
      <c r="JY254" s="450"/>
      <c r="JZ254" s="450"/>
      <c r="KA254" s="1705"/>
      <c r="KB254" s="1705"/>
      <c r="KC254" s="1705"/>
      <c r="KD254" s="1705"/>
      <c r="KE254" s="1705"/>
      <c r="KF254" s="1705"/>
      <c r="KG254" s="1705"/>
      <c r="KH254" s="1705"/>
      <c r="KI254" s="1705"/>
      <c r="KJ254" s="1705"/>
      <c r="KK254" s="1705"/>
      <c r="KL254" s="1705"/>
      <c r="KM254" s="1705"/>
      <c r="KN254" s="1705"/>
      <c r="KO254" s="1705"/>
      <c r="KP254" s="1705"/>
      <c r="KQ254" s="1705"/>
      <c r="KR254" s="1705"/>
      <c r="KS254" s="1705"/>
      <c r="KT254" s="1705"/>
      <c r="KU254" s="1705"/>
      <c r="KV254" s="1705"/>
      <c r="KW254" s="1705"/>
      <c r="KX254" s="1705"/>
      <c r="KY254" s="1705"/>
      <c r="KZ254" s="1705"/>
      <c r="LA254" s="1705"/>
      <c r="LB254" s="1705"/>
      <c r="LC254" s="1705"/>
      <c r="LD254" s="1705"/>
      <c r="LE254" s="1705"/>
      <c r="LF254" s="1705"/>
      <c r="LG254" s="450"/>
      <c r="LH254" s="450"/>
      <c r="LI254" s="450"/>
      <c r="LJ254" s="450"/>
      <c r="LK254" s="450"/>
      <c r="LL254" s="450"/>
      <c r="LM254" s="1706"/>
      <c r="LN254" s="450"/>
      <c r="LO254" s="450"/>
      <c r="LP254" s="450"/>
      <c r="LQ254" s="450"/>
      <c r="LR254" s="450"/>
      <c r="LS254" s="450"/>
      <c r="LT254" s="450"/>
      <c r="LU254" s="450"/>
      <c r="LV254" s="450"/>
      <c r="LW254" s="450"/>
      <c r="LX254" s="450"/>
      <c r="LY254" s="450"/>
      <c r="LZ254" s="450"/>
      <c r="MA254" s="450"/>
      <c r="MB254" s="450"/>
      <c r="MC254" s="1706"/>
      <c r="MD254" s="1706"/>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1705"/>
      <c r="JW255" s="450"/>
      <c r="JX255" s="450"/>
      <c r="JY255" s="450"/>
      <c r="JZ255" s="450"/>
      <c r="KA255" s="1705"/>
      <c r="KB255" s="1705"/>
      <c r="KC255" s="1705"/>
      <c r="KD255" s="1705"/>
      <c r="KE255" s="1705"/>
      <c r="KF255" s="1705"/>
      <c r="KG255" s="1705"/>
      <c r="KH255" s="1705"/>
      <c r="KI255" s="1705"/>
      <c r="KJ255" s="1705"/>
      <c r="KK255" s="1705"/>
      <c r="KL255" s="1705"/>
      <c r="KM255" s="1705"/>
      <c r="KN255" s="1705"/>
      <c r="KO255" s="1705"/>
      <c r="KP255" s="1705"/>
      <c r="KQ255" s="1705"/>
      <c r="KR255" s="1705"/>
      <c r="KS255" s="1705"/>
      <c r="KT255" s="1705"/>
      <c r="KU255" s="1705"/>
      <c r="KV255" s="1705"/>
      <c r="KW255" s="1705"/>
      <c r="KX255" s="1705"/>
      <c r="KY255" s="1705"/>
      <c r="KZ255" s="1705"/>
      <c r="LA255" s="1705"/>
      <c r="LB255" s="1705"/>
      <c r="LC255" s="1705"/>
      <c r="LD255" s="1705"/>
      <c r="LE255" s="1705"/>
      <c r="LF255" s="1705"/>
      <c r="LG255" s="450"/>
      <c r="LH255" s="450"/>
      <c r="LI255" s="450"/>
      <c r="LJ255" s="450"/>
      <c r="LK255" s="450"/>
      <c r="LL255" s="450"/>
      <c r="LM255" s="1706"/>
      <c r="LN255" s="450"/>
      <c r="LO255" s="450"/>
      <c r="LP255" s="450"/>
      <c r="LQ255" s="450"/>
      <c r="LR255" s="450"/>
      <c r="LS255" s="450"/>
      <c r="LT255" s="450"/>
      <c r="LU255" s="450"/>
      <c r="LV255" s="450"/>
      <c r="LW255" s="450"/>
      <c r="LX255" s="450"/>
      <c r="LY255" s="450"/>
      <c r="LZ255" s="450"/>
      <c r="MA255" s="450"/>
      <c r="MB255" s="450"/>
      <c r="MC255" s="1706"/>
      <c r="MD255" s="1706"/>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1705"/>
      <c r="JW256" s="450"/>
      <c r="JX256" s="450"/>
      <c r="JY256" s="450"/>
      <c r="JZ256" s="450"/>
      <c r="KA256" s="1705"/>
      <c r="KB256" s="1705"/>
      <c r="KC256" s="1705"/>
      <c r="KD256" s="1705"/>
      <c r="KE256" s="1705"/>
      <c r="KF256" s="1705"/>
      <c r="KG256" s="1705"/>
      <c r="KH256" s="1705"/>
      <c r="KI256" s="1705"/>
      <c r="KJ256" s="1705"/>
      <c r="KK256" s="1705"/>
      <c r="KL256" s="1705"/>
      <c r="KM256" s="1705"/>
      <c r="KN256" s="1705"/>
      <c r="KO256" s="1705"/>
      <c r="KP256" s="1705"/>
      <c r="KQ256" s="1705"/>
      <c r="KR256" s="1705"/>
      <c r="KS256" s="1705"/>
      <c r="KT256" s="1705"/>
      <c r="KU256" s="1705"/>
      <c r="KV256" s="1705"/>
      <c r="KW256" s="1705"/>
      <c r="KX256" s="1705"/>
      <c r="KY256" s="1705"/>
      <c r="KZ256" s="1705"/>
      <c r="LA256" s="1705"/>
      <c r="LB256" s="1705"/>
      <c r="LC256" s="1705"/>
      <c r="LD256" s="1705"/>
      <c r="LE256" s="1705"/>
      <c r="LF256" s="1705"/>
      <c r="LG256" s="450"/>
      <c r="LH256" s="450"/>
      <c r="LI256" s="450"/>
      <c r="LJ256" s="450"/>
      <c r="LK256" s="450"/>
      <c r="LL256" s="450"/>
      <c r="LM256" s="1706"/>
      <c r="LN256" s="450"/>
      <c r="LO256" s="450"/>
      <c r="LP256" s="450"/>
      <c r="LQ256" s="450"/>
      <c r="LR256" s="450"/>
      <c r="LS256" s="450"/>
      <c r="LT256" s="450"/>
      <c r="LU256" s="450"/>
      <c r="LV256" s="450"/>
      <c r="LW256" s="450"/>
      <c r="LX256" s="450"/>
      <c r="LY256" s="450"/>
      <c r="LZ256" s="450"/>
      <c r="MA256" s="450"/>
      <c r="MB256" s="450"/>
      <c r="MC256" s="1706"/>
      <c r="MD256" s="1706"/>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1705"/>
      <c r="JW257" s="450"/>
      <c r="JX257" s="450"/>
      <c r="JY257" s="450"/>
      <c r="JZ257" s="450"/>
      <c r="KA257" s="1705"/>
      <c r="KB257" s="1705"/>
      <c r="KC257" s="1705"/>
      <c r="KD257" s="1705"/>
      <c r="KE257" s="1705"/>
      <c r="KF257" s="1705"/>
      <c r="KG257" s="1705"/>
      <c r="KH257" s="1705"/>
      <c r="KI257" s="1705"/>
      <c r="KJ257" s="1705"/>
      <c r="KK257" s="1705"/>
      <c r="KL257" s="1705"/>
      <c r="KM257" s="1705"/>
      <c r="KN257" s="1705"/>
      <c r="KO257" s="1705"/>
      <c r="KP257" s="1705"/>
      <c r="KQ257" s="1705"/>
      <c r="KR257" s="1705"/>
      <c r="KS257" s="1705"/>
      <c r="KT257" s="1705"/>
      <c r="KU257" s="1705"/>
      <c r="KV257" s="1705"/>
      <c r="KW257" s="1705"/>
      <c r="KX257" s="1705"/>
      <c r="KY257" s="1705"/>
      <c r="KZ257" s="1705"/>
      <c r="LA257" s="1705"/>
      <c r="LB257" s="1705"/>
      <c r="LC257" s="1705"/>
      <c r="LD257" s="1705"/>
      <c r="LE257" s="1705"/>
      <c r="LF257" s="1705"/>
      <c r="LG257" s="450"/>
      <c r="LH257" s="450"/>
      <c r="LI257" s="450"/>
      <c r="LJ257" s="450"/>
      <c r="LK257" s="450"/>
      <c r="LL257" s="450"/>
      <c r="LM257" s="1706"/>
      <c r="LN257" s="450"/>
      <c r="LO257" s="450"/>
      <c r="LP257" s="450"/>
      <c r="LQ257" s="450"/>
      <c r="LR257" s="450"/>
      <c r="LS257" s="450"/>
      <c r="LT257" s="450"/>
      <c r="LU257" s="450"/>
      <c r="LV257" s="450"/>
      <c r="LW257" s="450"/>
      <c r="LX257" s="450"/>
      <c r="LY257" s="450"/>
      <c r="LZ257" s="450"/>
      <c r="MA257" s="450"/>
      <c r="MB257" s="450"/>
      <c r="MC257" s="1706"/>
      <c r="MD257" s="1706"/>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1747"/>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1705"/>
      <c r="JW258" s="450"/>
      <c r="JX258" s="450"/>
      <c r="JY258" s="450"/>
      <c r="JZ258" s="450"/>
      <c r="KA258" s="1705"/>
      <c r="KB258" s="1705"/>
      <c r="KC258" s="1705"/>
      <c r="KD258" s="1705"/>
      <c r="KE258" s="1705"/>
      <c r="KF258" s="1705"/>
      <c r="KG258" s="1705"/>
      <c r="KH258" s="1705"/>
      <c r="KI258" s="1705"/>
      <c r="KJ258" s="1705"/>
      <c r="KK258" s="1705"/>
      <c r="KL258" s="1705"/>
      <c r="KM258" s="1705"/>
      <c r="KN258" s="1705"/>
      <c r="KO258" s="1705"/>
      <c r="KP258" s="1705"/>
      <c r="KQ258" s="1705"/>
      <c r="KR258" s="1705"/>
      <c r="KS258" s="1705"/>
      <c r="KT258" s="1705"/>
      <c r="KU258" s="1705"/>
      <c r="KV258" s="1705"/>
      <c r="KW258" s="1705"/>
      <c r="KX258" s="1705"/>
      <c r="KY258" s="1705"/>
      <c r="KZ258" s="1705"/>
      <c r="LA258" s="1705"/>
      <c r="LB258" s="1705"/>
      <c r="LC258" s="1705"/>
      <c r="LD258" s="1705"/>
      <c r="LE258" s="1705"/>
      <c r="LF258" s="1705"/>
      <c r="LG258" s="450"/>
      <c r="LH258" s="450"/>
      <c r="LI258" s="450"/>
      <c r="LJ258" s="450"/>
      <c r="LK258" s="450"/>
      <c r="LL258" s="450"/>
      <c r="LM258" s="1706"/>
      <c r="LN258" s="450"/>
      <c r="LO258" s="450"/>
      <c r="LP258" s="450"/>
      <c r="LQ258" s="450"/>
      <c r="LR258" s="450"/>
      <c r="LS258" s="450"/>
      <c r="LT258" s="450"/>
      <c r="LU258" s="450"/>
      <c r="LV258" s="450"/>
      <c r="LW258" s="450"/>
      <c r="LX258" s="450"/>
      <c r="LY258" s="450"/>
      <c r="LZ258" s="450"/>
      <c r="MA258" s="450"/>
      <c r="MB258" s="450"/>
      <c r="MC258" s="1706"/>
      <c r="MD258" s="1706"/>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1705"/>
      <c r="JW259" s="450"/>
      <c r="JX259" s="450"/>
      <c r="JY259" s="450"/>
      <c r="JZ259" s="450"/>
      <c r="KA259" s="1705"/>
      <c r="KB259" s="1705"/>
      <c r="KC259" s="1705"/>
      <c r="KD259" s="1705"/>
      <c r="KE259" s="1705"/>
      <c r="KF259" s="1705"/>
      <c r="KG259" s="1705"/>
      <c r="KH259" s="1705"/>
      <c r="KI259" s="1705"/>
      <c r="KJ259" s="1705"/>
      <c r="KK259" s="1705"/>
      <c r="KL259" s="1705"/>
      <c r="KM259" s="1705"/>
      <c r="KN259" s="1705"/>
      <c r="KO259" s="1705"/>
      <c r="KP259" s="1705"/>
      <c r="KQ259" s="1705"/>
      <c r="KR259" s="1705"/>
      <c r="KS259" s="1705"/>
      <c r="KT259" s="1705"/>
      <c r="KU259" s="1705"/>
      <c r="KV259" s="1705"/>
      <c r="KW259" s="1705"/>
      <c r="KX259" s="1705"/>
      <c r="KY259" s="1705"/>
      <c r="KZ259" s="1705"/>
      <c r="LA259" s="1705"/>
      <c r="LB259" s="1705"/>
      <c r="LC259" s="1705"/>
      <c r="LD259" s="1705"/>
      <c r="LE259" s="1705"/>
      <c r="LF259" s="1705"/>
      <c r="LG259" s="450"/>
      <c r="LH259" s="450"/>
      <c r="LI259" s="450"/>
      <c r="LJ259" s="450"/>
      <c r="LK259" s="450"/>
      <c r="LL259" s="450"/>
      <c r="LM259" s="1706"/>
      <c r="LN259" s="450"/>
      <c r="LO259" s="450"/>
      <c r="LP259" s="450"/>
      <c r="LQ259" s="450"/>
      <c r="LR259" s="450"/>
      <c r="LS259" s="450"/>
      <c r="LT259" s="450"/>
      <c r="LU259" s="450"/>
      <c r="LV259" s="450"/>
      <c r="LW259" s="450"/>
      <c r="LX259" s="450"/>
      <c r="LY259" s="450"/>
      <c r="LZ259" s="450"/>
      <c r="MA259" s="450"/>
      <c r="MB259" s="450"/>
      <c r="MC259" s="1706"/>
      <c r="MD259" s="1706"/>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1705"/>
      <c r="JW264" s="450"/>
      <c r="JX264" s="450"/>
      <c r="JY264" s="450"/>
      <c r="JZ264" s="450"/>
      <c r="KA264" s="1705"/>
      <c r="KB264" s="1705"/>
      <c r="KC264" s="1705"/>
      <c r="KD264" s="1705"/>
      <c r="KE264" s="1705"/>
      <c r="KF264" s="1705"/>
      <c r="KG264" s="1705"/>
      <c r="KH264" s="1705"/>
      <c r="KI264" s="1705"/>
      <c r="KJ264" s="1705"/>
      <c r="KK264" s="1705"/>
      <c r="KL264" s="1705"/>
      <c r="KM264" s="1705"/>
      <c r="KN264" s="1705"/>
      <c r="KO264" s="1705"/>
      <c r="KP264" s="1705"/>
      <c r="KQ264" s="1705"/>
      <c r="KR264" s="1705"/>
      <c r="KS264" s="1705"/>
      <c r="KT264" s="1705"/>
      <c r="KU264" s="1705"/>
      <c r="KV264" s="1705"/>
      <c r="KW264" s="1705"/>
      <c r="KX264" s="1705"/>
      <c r="KY264" s="1705"/>
      <c r="KZ264" s="1705"/>
      <c r="LA264" s="1705"/>
      <c r="LB264" s="1705"/>
      <c r="LC264" s="1705"/>
      <c r="LD264" s="1705"/>
      <c r="LE264" s="1705"/>
      <c r="LF264" s="1705"/>
      <c r="LG264" s="450"/>
      <c r="LH264" s="450"/>
      <c r="LI264" s="450"/>
      <c r="LJ264" s="450"/>
      <c r="LK264" s="450"/>
      <c r="LL264" s="450"/>
      <c r="LM264" s="1706"/>
      <c r="LN264" s="450"/>
      <c r="LO264" s="450"/>
      <c r="LP264" s="450"/>
      <c r="LQ264" s="450"/>
      <c r="LR264" s="450"/>
      <c r="LS264" s="450"/>
      <c r="LT264" s="450"/>
      <c r="LU264" s="450"/>
      <c r="LV264" s="450"/>
      <c r="LW264" s="450"/>
      <c r="LX264" s="450"/>
      <c r="LY264" s="450"/>
      <c r="LZ264" s="450"/>
      <c r="MA264" s="450"/>
      <c r="MB264" s="450"/>
      <c r="MC264" s="1706"/>
      <c r="MD264" s="1706"/>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1705"/>
      <c r="JW265" s="450"/>
      <c r="JX265" s="450"/>
      <c r="JY265" s="450"/>
      <c r="JZ265" s="450"/>
      <c r="KA265" s="1705"/>
      <c r="KB265" s="1705"/>
      <c r="KC265" s="1705"/>
      <c r="KD265" s="1705"/>
      <c r="KE265" s="1705"/>
      <c r="KF265" s="1705"/>
      <c r="KG265" s="1705"/>
      <c r="KH265" s="1705"/>
      <c r="KI265" s="1705"/>
      <c r="KJ265" s="1705"/>
      <c r="KK265" s="1705"/>
      <c r="KL265" s="1705"/>
      <c r="KM265" s="1705"/>
      <c r="KN265" s="1705"/>
      <c r="KO265" s="1705"/>
      <c r="KP265" s="1705"/>
      <c r="KQ265" s="1705"/>
      <c r="KR265" s="1705"/>
      <c r="KS265" s="1705"/>
      <c r="KT265" s="1705"/>
      <c r="KU265" s="1705"/>
      <c r="KV265" s="1705"/>
      <c r="KW265" s="1705"/>
      <c r="KX265" s="1705"/>
      <c r="KY265" s="1705"/>
      <c r="KZ265" s="1705"/>
      <c r="LA265" s="1705"/>
      <c r="LB265" s="1705"/>
      <c r="LC265" s="1705"/>
      <c r="LD265" s="1705"/>
      <c r="LE265" s="1705"/>
      <c r="LF265" s="1705"/>
      <c r="LG265" s="450"/>
      <c r="LH265" s="450"/>
      <c r="LI265" s="450"/>
      <c r="LJ265" s="450"/>
      <c r="LK265" s="450"/>
      <c r="LL265" s="450"/>
      <c r="LM265" s="1706"/>
      <c r="LN265" s="450"/>
      <c r="LO265" s="450"/>
      <c r="LP265" s="450"/>
      <c r="LQ265" s="450"/>
      <c r="LR265" s="450"/>
      <c r="LS265" s="450"/>
      <c r="LT265" s="450"/>
      <c r="LU265" s="450"/>
      <c r="LV265" s="450"/>
      <c r="LW265" s="450"/>
      <c r="LX265" s="450"/>
      <c r="LY265" s="450"/>
      <c r="LZ265" s="450"/>
      <c r="MA265" s="450"/>
      <c r="MB265" s="450"/>
      <c r="MC265" s="1706"/>
      <c r="MD265" s="1706"/>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1747"/>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1705"/>
      <c r="JW266" s="450"/>
      <c r="JX266" s="450"/>
      <c r="JY266" s="450"/>
      <c r="JZ266" s="450"/>
      <c r="KA266" s="1705"/>
      <c r="KB266" s="1705"/>
      <c r="KC266" s="1705"/>
      <c r="KD266" s="1705"/>
      <c r="KE266" s="1705"/>
      <c r="KF266" s="1705"/>
      <c r="KG266" s="1705"/>
      <c r="KH266" s="1705"/>
      <c r="KI266" s="1705"/>
      <c r="KJ266" s="1705"/>
      <c r="KK266" s="1705"/>
      <c r="KL266" s="1705"/>
      <c r="KM266" s="1705"/>
      <c r="KN266" s="1705"/>
      <c r="KO266" s="1705"/>
      <c r="KP266" s="1705"/>
      <c r="KQ266" s="1705"/>
      <c r="KR266" s="1705"/>
      <c r="KS266" s="1705"/>
      <c r="KT266" s="1705"/>
      <c r="KU266" s="1705"/>
      <c r="KV266" s="1705"/>
      <c r="KW266" s="1705"/>
      <c r="KX266" s="1705"/>
      <c r="KY266" s="1705"/>
      <c r="KZ266" s="1705"/>
      <c r="LA266" s="1705"/>
      <c r="LB266" s="1705"/>
      <c r="LC266" s="1705"/>
      <c r="LD266" s="1705"/>
      <c r="LE266" s="1705"/>
      <c r="LF266" s="1705"/>
      <c r="LG266" s="450"/>
      <c r="LH266" s="450"/>
      <c r="LI266" s="450"/>
      <c r="LJ266" s="450"/>
      <c r="LK266" s="450"/>
      <c r="LL266" s="450"/>
      <c r="LM266" s="1706"/>
      <c r="LN266" s="450"/>
      <c r="LO266" s="450"/>
      <c r="LP266" s="450"/>
      <c r="LQ266" s="450"/>
      <c r="LR266" s="450"/>
      <c r="LS266" s="450"/>
      <c r="LT266" s="450"/>
      <c r="LU266" s="450"/>
      <c r="LV266" s="450"/>
      <c r="LW266" s="450"/>
      <c r="LX266" s="450"/>
      <c r="LY266" s="450"/>
      <c r="LZ266" s="450"/>
      <c r="MA266" s="450"/>
      <c r="MB266" s="450"/>
      <c r="MC266" s="1706"/>
      <c r="MD266" s="1706"/>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1705"/>
      <c r="JW267" s="450"/>
      <c r="JX267" s="450"/>
      <c r="JY267" s="450"/>
      <c r="JZ267" s="450"/>
      <c r="KA267" s="1705"/>
      <c r="KB267" s="1705"/>
      <c r="KC267" s="1705"/>
      <c r="KD267" s="1705"/>
      <c r="KE267" s="1705"/>
      <c r="KF267" s="1705"/>
      <c r="KG267" s="1705"/>
      <c r="KH267" s="1705"/>
      <c r="KI267" s="1705"/>
      <c r="KJ267" s="1705"/>
      <c r="KK267" s="1705"/>
      <c r="KL267" s="1705"/>
      <c r="KM267" s="1705"/>
      <c r="KN267" s="1705"/>
      <c r="KO267" s="1705"/>
      <c r="KP267" s="1705"/>
      <c r="KQ267" s="1705"/>
      <c r="KR267" s="1705"/>
      <c r="KS267" s="1705"/>
      <c r="KT267" s="1705"/>
      <c r="KU267" s="1705"/>
      <c r="KV267" s="1705"/>
      <c r="KW267" s="1705"/>
      <c r="KX267" s="1705"/>
      <c r="KY267" s="1705"/>
      <c r="KZ267" s="1705"/>
      <c r="LA267" s="1705"/>
      <c r="LB267" s="1705"/>
      <c r="LC267" s="1705"/>
      <c r="LD267" s="1705"/>
      <c r="LE267" s="1705"/>
      <c r="LF267" s="1705"/>
      <c r="LG267" s="450"/>
      <c r="LH267" s="450"/>
      <c r="LI267" s="450"/>
      <c r="LJ267" s="450"/>
      <c r="LK267" s="450"/>
      <c r="LL267" s="450"/>
      <c r="LM267" s="1706"/>
      <c r="LN267" s="450"/>
      <c r="LO267" s="450"/>
      <c r="LP267" s="450"/>
      <c r="LQ267" s="450"/>
      <c r="LR267" s="450"/>
      <c r="LS267" s="450"/>
      <c r="LT267" s="450"/>
      <c r="LU267" s="450"/>
      <c r="LV267" s="450"/>
      <c r="LW267" s="450"/>
      <c r="LX267" s="450"/>
      <c r="LY267" s="450"/>
      <c r="LZ267" s="450"/>
      <c r="MA267" s="450"/>
      <c r="MB267" s="450"/>
      <c r="MC267" s="1706"/>
      <c r="MD267" s="1706"/>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1705"/>
      <c r="JW268" s="450"/>
      <c r="JX268" s="450"/>
      <c r="JY268" s="450"/>
      <c r="JZ268" s="450"/>
      <c r="KA268" s="1705"/>
      <c r="KB268" s="1705"/>
      <c r="KC268" s="1705"/>
      <c r="KD268" s="1705"/>
      <c r="KE268" s="1705"/>
      <c r="KF268" s="1705"/>
      <c r="KG268" s="1705"/>
      <c r="KH268" s="1705"/>
      <c r="KI268" s="1705"/>
      <c r="KJ268" s="1705"/>
      <c r="KK268" s="1705"/>
      <c r="KL268" s="1705"/>
      <c r="KM268" s="1705"/>
      <c r="KN268" s="1705"/>
      <c r="KO268" s="1705"/>
      <c r="KP268" s="1705"/>
      <c r="KQ268" s="1705"/>
      <c r="KR268" s="1705"/>
      <c r="KS268" s="1705"/>
      <c r="KT268" s="1705"/>
      <c r="KU268" s="1705"/>
      <c r="KV268" s="1705"/>
      <c r="KW268" s="1705"/>
      <c r="KX268" s="1705"/>
      <c r="KY268" s="1705"/>
      <c r="KZ268" s="1705"/>
      <c r="LA268" s="1705"/>
      <c r="LB268" s="1705"/>
      <c r="LC268" s="1705"/>
      <c r="LD268" s="1705"/>
      <c r="LE268" s="1705"/>
      <c r="LF268" s="1705"/>
      <c r="LG268" s="450"/>
      <c r="LH268" s="450"/>
      <c r="LI268" s="450"/>
      <c r="LJ268" s="450"/>
      <c r="LK268" s="450"/>
      <c r="LL268" s="450"/>
      <c r="LM268" s="1706"/>
      <c r="LN268" s="450"/>
      <c r="LO268" s="450"/>
      <c r="LP268" s="450"/>
      <c r="LQ268" s="450"/>
      <c r="LR268" s="450"/>
      <c r="LS268" s="450"/>
      <c r="LT268" s="450"/>
      <c r="LU268" s="450"/>
      <c r="LV268" s="450"/>
      <c r="LW268" s="450"/>
      <c r="LX268" s="450"/>
      <c r="LY268" s="450"/>
      <c r="LZ268" s="450"/>
      <c r="MA268" s="450"/>
      <c r="MB268" s="450"/>
      <c r="MC268" s="1706"/>
      <c r="MD268" s="1706"/>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1705"/>
      <c r="JW276" s="450"/>
      <c r="JX276" s="450"/>
      <c r="JY276" s="450"/>
      <c r="JZ276" s="450"/>
      <c r="KA276" s="1705"/>
      <c r="KB276" s="1705"/>
      <c r="KC276" s="1705"/>
      <c r="KD276" s="1705"/>
      <c r="KE276" s="1705"/>
      <c r="KF276" s="1705"/>
      <c r="KG276" s="1705"/>
      <c r="KH276" s="1705"/>
      <c r="KI276" s="1705"/>
      <c r="KJ276" s="1705"/>
      <c r="KK276" s="1705"/>
      <c r="KL276" s="1705"/>
      <c r="KM276" s="1705"/>
      <c r="KN276" s="1705"/>
      <c r="KO276" s="1705"/>
      <c r="KP276" s="1705"/>
      <c r="KQ276" s="1705"/>
      <c r="KR276" s="1705"/>
      <c r="KS276" s="1705"/>
      <c r="KT276" s="1705"/>
      <c r="KU276" s="1705"/>
      <c r="KV276" s="1705"/>
      <c r="KW276" s="1705"/>
      <c r="KX276" s="1705"/>
      <c r="KY276" s="1705"/>
      <c r="KZ276" s="1705"/>
      <c r="LA276" s="1705"/>
      <c r="LB276" s="1705"/>
      <c r="LC276" s="1705"/>
      <c r="LD276" s="1705"/>
      <c r="LE276" s="1705"/>
      <c r="LF276" s="1705"/>
      <c r="LG276" s="450"/>
      <c r="LH276" s="450"/>
      <c r="LI276" s="450"/>
      <c r="LJ276" s="450"/>
      <c r="LK276" s="450"/>
      <c r="LL276" s="450"/>
      <c r="LM276" s="1706"/>
      <c r="LN276" s="450"/>
      <c r="LO276" s="450"/>
      <c r="LP276" s="450"/>
      <c r="LQ276" s="450"/>
      <c r="LR276" s="450"/>
      <c r="LS276" s="450"/>
      <c r="LT276" s="450"/>
      <c r="LU276" s="450"/>
      <c r="LV276" s="450"/>
      <c r="LW276" s="450"/>
      <c r="LX276" s="450"/>
      <c r="LY276" s="450"/>
      <c r="LZ276" s="450"/>
      <c r="MA276" s="450"/>
      <c r="MB276" s="450"/>
      <c r="MC276" s="1706"/>
      <c r="MD276" s="1706"/>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1705"/>
      <c r="JW277" s="450"/>
      <c r="JX277" s="450"/>
      <c r="JY277" s="450"/>
      <c r="JZ277" s="450"/>
      <c r="KA277" s="1705"/>
      <c r="KB277" s="1705"/>
      <c r="KC277" s="1705"/>
      <c r="KD277" s="1705"/>
      <c r="KE277" s="1705"/>
      <c r="KF277" s="1705"/>
      <c r="KG277" s="1705"/>
      <c r="KH277" s="1705"/>
      <c r="KI277" s="1705"/>
      <c r="KJ277" s="1705"/>
      <c r="KK277" s="1705"/>
      <c r="KL277" s="1705"/>
      <c r="KM277" s="1705"/>
      <c r="KN277" s="1705"/>
      <c r="KO277" s="1705"/>
      <c r="KP277" s="1705"/>
      <c r="KQ277" s="1705"/>
      <c r="KR277" s="1705"/>
      <c r="KS277" s="1705"/>
      <c r="KT277" s="1705"/>
      <c r="KU277" s="1705"/>
      <c r="KV277" s="1705"/>
      <c r="KW277" s="1705"/>
      <c r="KX277" s="1705"/>
      <c r="KY277" s="1705"/>
      <c r="KZ277" s="1705"/>
      <c r="LA277" s="1705"/>
      <c r="LB277" s="1705"/>
      <c r="LC277" s="1705"/>
      <c r="LD277" s="1705"/>
      <c r="LE277" s="1705"/>
      <c r="LF277" s="1705"/>
      <c r="LG277" s="450"/>
      <c r="LH277" s="450"/>
      <c r="LI277" s="450"/>
      <c r="LJ277" s="450"/>
      <c r="LK277" s="450"/>
      <c r="LL277" s="450"/>
      <c r="LM277" s="1706"/>
      <c r="LN277" s="450"/>
      <c r="LO277" s="450"/>
      <c r="LP277" s="450"/>
      <c r="LQ277" s="450"/>
      <c r="LR277" s="450"/>
      <c r="LS277" s="450"/>
      <c r="LT277" s="450"/>
      <c r="LU277" s="450"/>
      <c r="LV277" s="450"/>
      <c r="LW277" s="450"/>
      <c r="LX277" s="450"/>
      <c r="LY277" s="450"/>
      <c r="LZ277" s="450"/>
      <c r="MA277" s="450"/>
      <c r="MB277" s="450"/>
      <c r="MC277" s="1706"/>
      <c r="MD277" s="1706"/>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1747"/>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1705"/>
      <c r="JW278" s="450"/>
      <c r="JX278" s="450"/>
      <c r="JY278" s="450"/>
      <c r="JZ278" s="450"/>
      <c r="KA278" s="1705"/>
      <c r="KB278" s="1705"/>
      <c r="KC278" s="1705"/>
      <c r="KD278" s="1705"/>
      <c r="KE278" s="1705"/>
      <c r="KF278" s="1705"/>
      <c r="KG278" s="1705"/>
      <c r="KH278" s="1705"/>
      <c r="KI278" s="1705"/>
      <c r="KJ278" s="1705"/>
      <c r="KK278" s="1705"/>
      <c r="KL278" s="1705"/>
      <c r="KM278" s="1705"/>
      <c r="KN278" s="1705"/>
      <c r="KO278" s="1705"/>
      <c r="KP278" s="1705"/>
      <c r="KQ278" s="1705"/>
      <c r="KR278" s="1705"/>
      <c r="KS278" s="1705"/>
      <c r="KT278" s="1705"/>
      <c r="KU278" s="1705"/>
      <c r="KV278" s="1705"/>
      <c r="KW278" s="1705"/>
      <c r="KX278" s="1705"/>
      <c r="KY278" s="1705"/>
      <c r="KZ278" s="1705"/>
      <c r="LA278" s="1705"/>
      <c r="LB278" s="1705"/>
      <c r="LC278" s="1705"/>
      <c r="LD278" s="1705"/>
      <c r="LE278" s="1705"/>
      <c r="LF278" s="1705"/>
      <c r="LG278" s="450"/>
      <c r="LH278" s="450"/>
      <c r="LI278" s="450"/>
      <c r="LJ278" s="450"/>
      <c r="LK278" s="450"/>
      <c r="LL278" s="450"/>
      <c r="LM278" s="1706"/>
      <c r="LN278" s="450"/>
      <c r="LO278" s="450"/>
      <c r="LP278" s="450"/>
      <c r="LQ278" s="450"/>
      <c r="LR278" s="450"/>
      <c r="LS278" s="450"/>
      <c r="LT278" s="450"/>
      <c r="LU278" s="450"/>
      <c r="LV278" s="450"/>
      <c r="LW278" s="450"/>
      <c r="LX278" s="450"/>
      <c r="LY278" s="450"/>
      <c r="LZ278" s="450"/>
      <c r="MA278" s="450"/>
      <c r="MB278" s="450"/>
      <c r="MC278" s="1706"/>
      <c r="MD278" s="1706"/>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1705"/>
      <c r="JW279" s="450"/>
      <c r="JX279" s="450"/>
      <c r="JY279" s="450"/>
      <c r="JZ279" s="450"/>
      <c r="KA279" s="1705"/>
      <c r="KB279" s="1705"/>
      <c r="KC279" s="1705"/>
      <c r="KD279" s="1705"/>
      <c r="KE279" s="1705"/>
      <c r="KF279" s="1705"/>
      <c r="KG279" s="1705"/>
      <c r="KH279" s="1705"/>
      <c r="KI279" s="1705"/>
      <c r="KJ279" s="1705"/>
      <c r="KK279" s="1705"/>
      <c r="KL279" s="1705"/>
      <c r="KM279" s="1705"/>
      <c r="KN279" s="1705"/>
      <c r="KO279" s="1705"/>
      <c r="KP279" s="1705"/>
      <c r="KQ279" s="1705"/>
      <c r="KR279" s="1705"/>
      <c r="KS279" s="1705"/>
      <c r="KT279" s="1705"/>
      <c r="KU279" s="1705"/>
      <c r="KV279" s="1705"/>
      <c r="KW279" s="1705"/>
      <c r="KX279" s="1705"/>
      <c r="KY279" s="1705"/>
      <c r="KZ279" s="1705"/>
      <c r="LA279" s="1705"/>
      <c r="LB279" s="1705"/>
      <c r="LC279" s="1705"/>
      <c r="LD279" s="1705"/>
      <c r="LE279" s="1705"/>
      <c r="LF279" s="1705"/>
      <c r="LG279" s="450"/>
      <c r="LH279" s="450"/>
      <c r="LI279" s="450"/>
      <c r="LJ279" s="450"/>
      <c r="LK279" s="450"/>
      <c r="LL279" s="450"/>
      <c r="LM279" s="1706"/>
      <c r="LN279" s="450"/>
      <c r="LO279" s="450"/>
      <c r="LP279" s="450"/>
      <c r="LQ279" s="450"/>
      <c r="LR279" s="450"/>
      <c r="LS279" s="450"/>
      <c r="LT279" s="450"/>
      <c r="LU279" s="450"/>
      <c r="LV279" s="450"/>
      <c r="LW279" s="450"/>
      <c r="LX279" s="450"/>
      <c r="LY279" s="450"/>
      <c r="LZ279" s="450"/>
      <c r="MA279" s="450"/>
      <c r="MB279" s="450"/>
      <c r="MC279" s="1706"/>
      <c r="MD279" s="1706"/>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1705"/>
      <c r="JW280" s="450"/>
      <c r="JX280" s="450"/>
      <c r="JY280" s="450"/>
      <c r="JZ280" s="450"/>
      <c r="KA280" s="1705"/>
      <c r="KB280" s="1705"/>
      <c r="KC280" s="1705"/>
      <c r="KD280" s="1705"/>
      <c r="KE280" s="1705"/>
      <c r="KF280" s="1705"/>
      <c r="KG280" s="1705"/>
      <c r="KH280" s="1705"/>
      <c r="KI280" s="1705"/>
      <c r="KJ280" s="1705"/>
      <c r="KK280" s="1705"/>
      <c r="KL280" s="1705"/>
      <c r="KM280" s="1705"/>
      <c r="KN280" s="1705"/>
      <c r="KO280" s="1705"/>
      <c r="KP280" s="1705"/>
      <c r="KQ280" s="1705"/>
      <c r="KR280" s="1705"/>
      <c r="KS280" s="1705"/>
      <c r="KT280" s="1705"/>
      <c r="KU280" s="1705"/>
      <c r="KV280" s="1705"/>
      <c r="KW280" s="1705"/>
      <c r="KX280" s="1705"/>
      <c r="KY280" s="1705"/>
      <c r="KZ280" s="1705"/>
      <c r="LA280" s="1705"/>
      <c r="LB280" s="1705"/>
      <c r="LC280" s="1705"/>
      <c r="LD280" s="1705"/>
      <c r="LE280" s="1705"/>
      <c r="LF280" s="1705"/>
      <c r="LG280" s="450"/>
      <c r="LH280" s="450"/>
      <c r="LI280" s="450"/>
      <c r="LJ280" s="450"/>
      <c r="LK280" s="450"/>
      <c r="LL280" s="450"/>
      <c r="LM280" s="1706"/>
      <c r="LN280" s="450"/>
      <c r="LO280" s="450"/>
      <c r="LP280" s="450"/>
      <c r="LQ280" s="450"/>
      <c r="LR280" s="450"/>
      <c r="LS280" s="450"/>
      <c r="LT280" s="450"/>
      <c r="LU280" s="450"/>
      <c r="LV280" s="450"/>
      <c r="LW280" s="450"/>
      <c r="LX280" s="450"/>
      <c r="LY280" s="450"/>
      <c r="LZ280" s="450"/>
      <c r="MA280" s="450"/>
      <c r="MB280" s="450"/>
      <c r="MC280" s="1706"/>
      <c r="MD280" s="1706"/>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xdeQT8JgJSd9VJiGN06OFgf9Lf1UA/TA4ZcLVaWAt1QuC5YMZ0YzipTVDavLfkFL3kPUnRbe0sjqWNpSkpvGOA==" saltValue="PJppdzMRrMd61cpdAy1ETw=="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61" priority="26" stopIfTrue="1" operator="greaterThan">
      <formula>0</formula>
    </cfRule>
  </conditionalFormatting>
  <conditionalFormatting sqref="A10:A47">
    <cfRule type="cellIs" dxfId="160" priority="27" stopIfTrue="1" operator="equal">
      <formula>1</formula>
    </cfRule>
  </conditionalFormatting>
  <conditionalFormatting sqref="I10:I47">
    <cfRule type="expression" priority="24" stopIfTrue="1">
      <formula>AND($B10="PHA", $H10&gt;0)</formula>
    </cfRule>
  </conditionalFormatting>
  <conditionalFormatting sqref="O173">
    <cfRule type="cellIs" dxfId="159" priority="23" operator="greaterThan">
      <formula>0.02</formula>
    </cfRule>
  </conditionalFormatting>
  <conditionalFormatting sqref="P10:P47">
    <cfRule type="expression" dxfId="158" priority="21">
      <formula>AND($O$10="New Construction",$P$10="Yes")</formula>
    </cfRule>
  </conditionalFormatting>
  <conditionalFormatting sqref="J71:O77">
    <cfRule type="cellIs" dxfId="157" priority="20" stopIfTrue="1" operator="equal">
      <formula>0</formula>
    </cfRule>
  </conditionalFormatting>
  <conditionalFormatting sqref="J56:O67 J81:O142 J144:O156">
    <cfRule type="cellIs" dxfId="156" priority="17" operator="equal">
      <formula>0</formula>
    </cfRule>
  </conditionalFormatting>
  <conditionalFormatting sqref="B49:C49">
    <cfRule type="cellIs" dxfId="155" priority="12" operator="greaterThan">
      <formula>60.0000001</formula>
    </cfRule>
  </conditionalFormatting>
  <conditionalFormatting sqref="K53:N53">
    <cfRule type="containsText" dxfId="154" priority="11" operator="containsText" text="&lt;&lt; Select LIHTC Election &gt;&gt;">
      <formula>NOT(ISERROR(SEARCH("&lt;&lt; Select LIHTC Election &gt;&gt;",K53)))</formula>
    </cfRule>
  </conditionalFormatting>
  <conditionalFormatting sqref="T143">
    <cfRule type="cellIs" dxfId="153" priority="9" stopIfTrue="1" operator="greaterThan">
      <formula>0</formula>
    </cfRule>
  </conditionalFormatting>
  <conditionalFormatting sqref="J143:O143">
    <cfRule type="cellIs" dxfId="152" priority="8" operator="equal">
      <formula>0</formula>
    </cfRule>
  </conditionalFormatting>
  <conditionalFormatting sqref="K90:N90">
    <cfRule type="cellIs" dxfId="151" priority="2" operator="equal">
      <formula>"&lt;&lt; Select LIHTC Election &gt;&gt;"</formula>
    </cfRule>
    <cfRule type="containsText" dxfId="150" priority="6" operator="containsText" text="&lt;&lt; Select Election or Income Averaging &gt;&gt;">
      <formula>NOT(ISERROR(SEARCH("&lt;&lt; Select Election or Income Averaging &gt;&gt;",K90)))</formula>
    </cfRule>
  </conditionalFormatting>
  <conditionalFormatting sqref="K133:N133">
    <cfRule type="cellIs" dxfId="149" priority="1" operator="equal">
      <formula>"&lt;&lt; Select LIHTC Election &gt;&gt;"</formula>
    </cfRule>
    <cfRule type="containsText" dxfId="148"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7" zoomScaleNormal="100" workbookViewId="0">
      <selection activeCell="A17" sqref="A1:XFD1048576"/>
    </sheetView>
  </sheetViews>
  <sheetFormatPr defaultColWidth="8.88671875" defaultRowHeight="13.2"/>
  <cols>
    <col min="1" max="1" width="22.109375" style="7" customWidth="1"/>
    <col min="2" max="11" width="12" style="7" customWidth="1"/>
    <col min="12" max="13" width="2.109375" style="7" customWidth="1"/>
    <col min="14" max="14" width="19.109375" style="7" customWidth="1"/>
    <col min="15" max="15" width="83" style="7" customWidth="1"/>
    <col min="16" max="16" width="8.88671875" style="7"/>
    <col min="17" max="17" width="5.109375" style="7" customWidth="1"/>
    <col min="18" max="18" width="12.109375" style="7" customWidth="1"/>
    <col min="19" max="19" width="12.44140625" style="7" customWidth="1"/>
    <col min="20" max="16384" width="8.88671875" style="7"/>
  </cols>
  <sheetData>
    <row r="1" spans="1:19" s="15" customFormat="1" ht="14.1" customHeight="1">
      <c r="A1" s="3251" t="str">
        <f>CONCATENATE("PART SEVEN - OPERATING PRO FORMA","  -  ",'Part I-Project Information'!$O$6," ",'Part I-Project Information'!$F$34,", ",'Part I-Project Information'!F38,", ",'Part I-Project Information'!J39," County")</f>
        <v>PART SEVEN - OPERATING PRO FORMA  -  2019-063 Haven at South Atlanta, Atlanta, Fulton County</v>
      </c>
      <c r="B1" s="3252"/>
      <c r="C1" s="3252"/>
      <c r="D1" s="3252"/>
      <c r="E1" s="3252"/>
      <c r="F1" s="3252"/>
      <c r="G1" s="3252"/>
      <c r="H1" s="3252"/>
      <c r="I1" s="3252"/>
      <c r="J1" s="3252"/>
      <c r="K1" s="3253"/>
      <c r="L1" s="9"/>
      <c r="M1" s="9"/>
      <c r="N1" s="3254" t="str">
        <f>A1</f>
        <v>PART SEVEN - OPERATING PRO FORMA  -  2019-063 Haven at South Atlanta, Atlanta, Fulton County</v>
      </c>
      <c r="O1" s="3254"/>
      <c r="P1" s="9"/>
    </row>
    <row r="2" spans="1:19" ht="13.5" customHeight="1">
      <c r="A2" s="489"/>
      <c r="B2" s="489"/>
      <c r="C2" s="489"/>
      <c r="D2" s="489"/>
      <c r="E2" s="489"/>
      <c r="F2" s="489"/>
      <c r="G2" s="489"/>
      <c r="H2" s="489"/>
      <c r="I2" s="489"/>
      <c r="J2" s="489"/>
      <c r="K2" s="489"/>
      <c r="N2" s="3255" t="s">
        <v>1820</v>
      </c>
      <c r="O2" s="3255"/>
    </row>
    <row r="3" spans="1:19" ht="13.5" customHeight="1">
      <c r="A3" s="12" t="s">
        <v>88</v>
      </c>
      <c r="C3" s="3256" t="str">
        <f>'Part I-Project Information'!$B$6</f>
        <v>May 2019</v>
      </c>
      <c r="D3" s="1219" t="s">
        <v>78</v>
      </c>
      <c r="E3" s="217"/>
      <c r="F3" s="1220" t="s">
        <v>3976</v>
      </c>
      <c r="N3" s="12" t="str">
        <f>A3</f>
        <v>I.  OPERATING ASSUMPTIONS</v>
      </c>
      <c r="O3" s="30"/>
    </row>
    <row r="4" spans="1:19" ht="2.4" customHeight="1">
      <c r="A4" s="15"/>
      <c r="B4" s="15"/>
      <c r="C4" s="3256"/>
      <c r="H4" s="15"/>
      <c r="I4" s="15"/>
    </row>
    <row r="5" spans="1:19" ht="13.5" customHeight="1">
      <c r="A5" s="15" t="s">
        <v>2161</v>
      </c>
      <c r="B5" s="77">
        <v>0.02</v>
      </c>
      <c r="C5" s="3256"/>
      <c r="D5" s="3158" t="s">
        <v>3977</v>
      </c>
      <c r="E5" s="3158"/>
      <c r="F5" s="3158"/>
      <c r="G5" s="2430">
        <f>7500+2500</f>
        <v>10000</v>
      </c>
      <c r="H5" s="96" t="s">
        <v>1881</v>
      </c>
      <c r="K5" s="101">
        <f>IF(($B$14+$B$15+$B$16+$B$17)=0,"",B30/($B$14+$B$15+$B$16+$B$17))</f>
        <v>-1.3717366661802378E-2</v>
      </c>
      <c r="N5" s="3155"/>
      <c r="O5" s="3157"/>
    </row>
    <row r="6" spans="1:19">
      <c r="A6" s="15" t="s">
        <v>2162</v>
      </c>
      <c r="B6" s="77">
        <v>0.03</v>
      </c>
      <c r="C6" s="3256"/>
      <c r="D6" s="3158"/>
      <c r="E6" s="3158"/>
      <c r="F6" s="3158"/>
      <c r="G6" s="1221">
        <f>IF(OR('Part III-Sources of Funds'!E5="Yes",'Part III-Sources of Funds'!H5&gt;0),'DCA Underwriting Assumptions'!$Q$96,0)</f>
        <v>0</v>
      </c>
      <c r="H6" s="15"/>
      <c r="I6" s="15"/>
      <c r="J6" s="15"/>
      <c r="K6" s="15"/>
      <c r="N6" s="3160"/>
      <c r="O6" s="3162"/>
    </row>
    <row r="7" spans="1:19">
      <c r="A7" s="15" t="s">
        <v>2164</v>
      </c>
      <c r="B7" s="77">
        <v>0.03</v>
      </c>
      <c r="C7" s="3256"/>
      <c r="D7" s="79" t="s">
        <v>267</v>
      </c>
      <c r="G7" s="81"/>
      <c r="H7" s="96" t="s">
        <v>2345</v>
      </c>
      <c r="K7" s="101">
        <f>IF(($B$14+$B$15+$B$16+$B$17)=0,"",-B21/($B$14+$B$15+$B$16+$B$17))</f>
        <v>4.9999801482269672E-2</v>
      </c>
      <c r="N7" s="3160"/>
      <c r="O7" s="3162"/>
    </row>
    <row r="8" spans="1:19" ht="13.35" customHeight="1">
      <c r="A8" s="15" t="s">
        <v>2163</v>
      </c>
      <c r="B8" s="2431">
        <v>7.0000000000000007E-2</v>
      </c>
      <c r="C8" s="1609" t="str">
        <f>IF(B8&lt;0.07, "Must be &gt;= 7%!","")</f>
        <v/>
      </c>
      <c r="D8" s="78" t="s">
        <v>2475</v>
      </c>
      <c r="G8" s="2432" t="s">
        <v>2936</v>
      </c>
      <c r="H8" s="163" t="s">
        <v>1428</v>
      </c>
      <c r="K8" s="2433"/>
      <c r="N8" s="3160"/>
      <c r="O8" s="3162"/>
    </row>
    <row r="9" spans="1:19">
      <c r="A9" s="15" t="s">
        <v>1402</v>
      </c>
      <c r="B9" s="77">
        <v>0.02</v>
      </c>
      <c r="D9" s="78" t="s">
        <v>1697</v>
      </c>
      <c r="G9" s="2434" t="s">
        <v>2933</v>
      </c>
      <c r="H9" s="163" t="s">
        <v>2327</v>
      </c>
      <c r="K9" s="2435">
        <v>0.05</v>
      </c>
      <c r="N9" s="3164"/>
      <c r="O9" s="3166"/>
    </row>
    <row r="10" spans="1:19" ht="9" customHeight="1"/>
    <row r="11" spans="1:19">
      <c r="A11" s="12" t="s">
        <v>89</v>
      </c>
      <c r="D11" s="1083"/>
      <c r="N11" s="12" t="str">
        <f>A11</f>
        <v>II.  OPERATING PRO FORMA</v>
      </c>
    </row>
    <row r="12" spans="1:19" ht="2.4" customHeight="1"/>
    <row r="13" spans="1:19" ht="14.4" customHeight="1">
      <c r="A13" s="12" t="s">
        <v>2448</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880" t="s">
        <v>2590</v>
      </c>
      <c r="O13" s="2880"/>
    </row>
    <row r="14" spans="1:19" ht="13.35" customHeight="1">
      <c r="A14" s="17" t="s">
        <v>2373</v>
      </c>
      <c r="B14" s="18">
        <f>'Part VI-Revenues &amp; Expenses'!$L$49</f>
        <v>768504</v>
      </c>
      <c r="C14" s="18">
        <f t="shared" ref="C14:K14" si="1">$B$14*(1+$B$5)^(C13-1)</f>
        <v>783874.08</v>
      </c>
      <c r="D14" s="18">
        <f t="shared" si="1"/>
        <v>799551.56160000002</v>
      </c>
      <c r="E14" s="18">
        <f t="shared" si="1"/>
        <v>815542.59283199999</v>
      </c>
      <c r="F14" s="18">
        <f t="shared" si="1"/>
        <v>831853.44468863995</v>
      </c>
      <c r="G14" s="18">
        <f t="shared" si="1"/>
        <v>848490.51358241285</v>
      </c>
      <c r="H14" s="18">
        <f t="shared" si="1"/>
        <v>865460.32385406108</v>
      </c>
      <c r="I14" s="18">
        <f t="shared" si="1"/>
        <v>882769.53033114213</v>
      </c>
      <c r="J14" s="18">
        <f t="shared" si="1"/>
        <v>900424.92093776504</v>
      </c>
      <c r="K14" s="19">
        <f t="shared" si="1"/>
        <v>918433.4193565204</v>
      </c>
      <c r="N14" s="3155"/>
      <c r="O14" s="3157"/>
      <c r="S14" s="3247" t="s">
        <v>3982</v>
      </c>
    </row>
    <row r="15" spans="1:19" ht="13.35" customHeight="1">
      <c r="A15" s="20" t="s">
        <v>1003</v>
      </c>
      <c r="B15" s="21">
        <f>MIN(B14*B9,'Part VI-Revenues &amp; Expenses'!$H$173)</f>
        <v>15370.08</v>
      </c>
      <c r="C15" s="21">
        <f t="shared" ref="C15:K15" si="2">$B$15*(1+$B$5)^(C13-1)</f>
        <v>15677.481600000001</v>
      </c>
      <c r="D15" s="21">
        <f t="shared" si="2"/>
        <v>15991.031231999999</v>
      </c>
      <c r="E15" s="21">
        <f t="shared" si="2"/>
        <v>16310.851856639998</v>
      </c>
      <c r="F15" s="21">
        <f t="shared" si="2"/>
        <v>16637.068893772801</v>
      </c>
      <c r="G15" s="21">
        <f t="shared" si="2"/>
        <v>16969.810271648257</v>
      </c>
      <c r="H15" s="21">
        <f t="shared" si="2"/>
        <v>17309.206477081221</v>
      </c>
      <c r="I15" s="21">
        <f t="shared" si="2"/>
        <v>17655.390606622841</v>
      </c>
      <c r="J15" s="21">
        <f t="shared" si="2"/>
        <v>18008.498418755302</v>
      </c>
      <c r="K15" s="22">
        <f t="shared" si="2"/>
        <v>18368.668387130409</v>
      </c>
      <c r="N15" s="3160"/>
      <c r="O15" s="3162"/>
      <c r="S15" s="3248"/>
    </row>
    <row r="16" spans="1:19" ht="13.35" customHeight="1">
      <c r="A16" s="20" t="s">
        <v>2374</v>
      </c>
      <c r="B16" s="21">
        <f t="shared" ref="B16:K16" si="3">-(B14+B15)*$B$8</f>
        <v>-54871.185600000004</v>
      </c>
      <c r="C16" s="21">
        <f t="shared" si="3"/>
        <v>-55968.609312000008</v>
      </c>
      <c r="D16" s="21">
        <f t="shared" si="3"/>
        <v>-57087.981498240006</v>
      </c>
      <c r="E16" s="21">
        <f t="shared" si="3"/>
        <v>-58229.741128204805</v>
      </c>
      <c r="F16" s="21">
        <f t="shared" si="3"/>
        <v>-59394.335950768895</v>
      </c>
      <c r="G16" s="21">
        <f t="shared" si="3"/>
        <v>-60582.222669784278</v>
      </c>
      <c r="H16" s="21">
        <f t="shared" si="3"/>
        <v>-61793.86712317996</v>
      </c>
      <c r="I16" s="21">
        <f t="shared" si="3"/>
        <v>-63029.744465643547</v>
      </c>
      <c r="J16" s="21">
        <f t="shared" si="3"/>
        <v>-64290.339354956428</v>
      </c>
      <c r="K16" s="22">
        <f t="shared" si="3"/>
        <v>-65576.146142055557</v>
      </c>
      <c r="N16" s="3160"/>
      <c r="O16" s="3162"/>
      <c r="Q16" s="3250" t="s">
        <v>3750</v>
      </c>
      <c r="R16" s="3250" t="s">
        <v>3981</v>
      </c>
      <c r="S16" s="3248"/>
    </row>
    <row r="17" spans="1:19" ht="13.35" customHeight="1">
      <c r="A17" s="20" t="s">
        <v>50</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160"/>
      <c r="O17" s="3162"/>
      <c r="Q17" s="3250"/>
      <c r="R17" s="3250"/>
      <c r="S17" s="3249"/>
    </row>
    <row r="18" spans="1:19" ht="13.35" customHeight="1">
      <c r="A18" s="20" t="s">
        <v>51</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160"/>
      <c r="O18" s="3162"/>
    </row>
    <row r="19" spans="1:19" ht="13.35" customHeight="1">
      <c r="A19" s="420" t="s">
        <v>4607</v>
      </c>
      <c r="B19" s="21">
        <f>SUM(B14:B18)</f>
        <v>729002.89439999999</v>
      </c>
      <c r="C19" s="21">
        <f t="shared" ref="C19:K19" si="4">SUM(C14:C18)</f>
        <v>743582.95228800003</v>
      </c>
      <c r="D19" s="21">
        <f t="shared" si="4"/>
        <v>758454.61133375997</v>
      </c>
      <c r="E19" s="21">
        <f t="shared" si="4"/>
        <v>773623.7035604351</v>
      </c>
      <c r="F19" s="21">
        <f t="shared" si="4"/>
        <v>789096.17763164383</v>
      </c>
      <c r="G19" s="21">
        <f t="shared" si="4"/>
        <v>804878.10118427675</v>
      </c>
      <c r="H19" s="21">
        <f t="shared" si="4"/>
        <v>820975.66320796229</v>
      </c>
      <c r="I19" s="21">
        <f t="shared" si="4"/>
        <v>837395.17647212138</v>
      </c>
      <c r="J19" s="21">
        <f t="shared" si="4"/>
        <v>854143.08000156388</v>
      </c>
      <c r="K19" s="22">
        <f t="shared" si="4"/>
        <v>871225.94160159526</v>
      </c>
      <c r="N19" s="3160"/>
      <c r="O19" s="3162"/>
    </row>
    <row r="20" spans="1:19" ht="13.35" customHeight="1">
      <c r="A20" s="20" t="s">
        <v>604</v>
      </c>
      <c r="B20" s="21">
        <f>-('Part VI-Revenues &amp; Expenses'!$P$226-'Part VI-Revenues &amp; Expenses'!$P$221)</f>
        <v>-419724</v>
      </c>
      <c r="C20" s="21">
        <f t="shared" ref="C20:K20" si="5">$B$20*(1+$B$6)^(C13-1)</f>
        <v>-432315.72000000003</v>
      </c>
      <c r="D20" s="21">
        <f t="shared" si="5"/>
        <v>-445285.19159999996</v>
      </c>
      <c r="E20" s="21">
        <f t="shared" si="5"/>
        <v>-458643.747348</v>
      </c>
      <c r="F20" s="21">
        <f t="shared" si="5"/>
        <v>-472403.05976843997</v>
      </c>
      <c r="G20" s="21">
        <f t="shared" si="5"/>
        <v>-486575.15156149311</v>
      </c>
      <c r="H20" s="21">
        <f t="shared" si="5"/>
        <v>-501172.40610833798</v>
      </c>
      <c r="I20" s="21">
        <f t="shared" si="5"/>
        <v>-516207.57829158811</v>
      </c>
      <c r="J20" s="21">
        <f t="shared" si="5"/>
        <v>-531693.80564033566</v>
      </c>
      <c r="K20" s="22">
        <f t="shared" si="5"/>
        <v>-547644.61980954581</v>
      </c>
      <c r="N20" s="3160"/>
      <c r="O20" s="3162"/>
      <c r="Q20" s="61">
        <v>1</v>
      </c>
      <c r="R20" s="1091">
        <f>-B31</f>
        <v>0</v>
      </c>
      <c r="S20" s="1091">
        <f>B32+R20</f>
        <v>31285.450841147336</v>
      </c>
    </row>
    <row r="21" spans="1:19" ht="13.35" customHeight="1">
      <c r="A21" s="20" t="s">
        <v>1102</v>
      </c>
      <c r="B21" s="21">
        <f>IF(AND('Part VII-Pro Forma'!$G$8="Yes",'Part VII-Pro Forma'!$G$9="Yes"),"Choose One!",IF('Part VII-Pro Forma'!$G$8="Yes",ROUND((-$K$8*(1+'Part VII-Pro Forma'!$B$6)^('Part VII-Pro Forma'!B13-1)),),IF('Part VII-Pro Forma'!$G$9="Yes",ROUND((-(SUM(B14:B17)*'Part VII-Pro Forma'!$K$9)),),"Choose mgt fee")))</f>
        <v>-36450</v>
      </c>
      <c r="C21" s="21">
        <f>IF(AND('Part VII-Pro Forma'!$G$8="Yes",'Part VII-Pro Forma'!$G$9="Yes"),"Choose One!",IF('Part VII-Pro Forma'!$G$8="Yes",ROUND((-$K$8*(1+'Part VII-Pro Forma'!$B$6)^('Part VII-Pro Forma'!C13-1)),),IF('Part VII-Pro Forma'!$G$9="Yes",ROUND((-(SUM(C14:C17)*'Part VII-Pro Forma'!$K$9)),),"Choose mgt fee")))</f>
        <v>-37179</v>
      </c>
      <c r="D21" s="21">
        <f>IF(AND('Part VII-Pro Forma'!$G$8="Yes",'Part VII-Pro Forma'!$G$9="Yes"),"Choose One!",IF('Part VII-Pro Forma'!$G$8="Yes",ROUND((-$K$8*(1+'Part VII-Pro Forma'!$B$6)^('Part VII-Pro Forma'!D13-1)),),IF('Part VII-Pro Forma'!$G$9="Yes",ROUND((-(SUM(D14:D17)*'Part VII-Pro Forma'!$K$9)),),"Choose mgt fee")))</f>
        <v>-37923</v>
      </c>
      <c r="E21" s="21">
        <f>IF(AND('Part VII-Pro Forma'!$G$8="Yes",'Part VII-Pro Forma'!$G$9="Yes"),"Choose One!",IF('Part VII-Pro Forma'!$G$8="Yes",ROUND((-$K$8*(1+'Part VII-Pro Forma'!$B$6)^('Part VII-Pro Forma'!E13-1)),),IF('Part VII-Pro Forma'!$G$9="Yes",ROUND((-(SUM(E14:E17)*'Part VII-Pro Forma'!$K$9)),),"Choose mgt fee")))</f>
        <v>-38681</v>
      </c>
      <c r="F21" s="21">
        <f>IF(AND('Part VII-Pro Forma'!$G$8="Yes",'Part VII-Pro Forma'!$G$9="Yes"),"Choose One!",IF('Part VII-Pro Forma'!$G$8="Yes",ROUND((-$K$8*(1+'Part VII-Pro Forma'!$B$6)^('Part VII-Pro Forma'!F13-1)),),IF('Part VII-Pro Forma'!$G$9="Yes",ROUND((-(SUM(F14:F17)*'Part VII-Pro Forma'!$K$9)),),"Choose mgt fee")))</f>
        <v>-39455</v>
      </c>
      <c r="G21" s="21">
        <f>IF(AND('Part VII-Pro Forma'!$G$8="Yes",'Part VII-Pro Forma'!$G$9="Yes"),"Choose One!",IF('Part VII-Pro Forma'!$G$8="Yes",ROUND((-$K$8*(1+'Part VII-Pro Forma'!$B$6)^('Part VII-Pro Forma'!G13-1)),),IF('Part VII-Pro Forma'!$G$9="Yes",ROUND((-(SUM(G14:G17)*'Part VII-Pro Forma'!$K$9)),),"Choose mgt fee")))</f>
        <v>-40244</v>
      </c>
      <c r="H21" s="21">
        <f>IF(AND('Part VII-Pro Forma'!$G$8="Yes",'Part VII-Pro Forma'!$G$9="Yes"),"Choose One!",IF('Part VII-Pro Forma'!$G$8="Yes",ROUND((-$K$8*(1+'Part VII-Pro Forma'!$B$6)^('Part VII-Pro Forma'!H13-1)),),IF('Part VII-Pro Forma'!$G$9="Yes",ROUND((-(SUM(H14:H17)*'Part VII-Pro Forma'!$K$9)),),"Choose mgt fee")))</f>
        <v>-41049</v>
      </c>
      <c r="I21" s="21">
        <f>IF(AND('Part VII-Pro Forma'!$G$8="Yes",'Part VII-Pro Forma'!$G$9="Yes"),"Choose One!",IF('Part VII-Pro Forma'!$G$8="Yes",ROUND((-$K$8*(1+'Part VII-Pro Forma'!$B$6)^('Part VII-Pro Forma'!I13-1)),),IF('Part VII-Pro Forma'!$G$9="Yes",ROUND((-(SUM(I14:I17)*'Part VII-Pro Forma'!$K$9)),),"Choose mgt fee")))</f>
        <v>-41870</v>
      </c>
      <c r="J21" s="21">
        <f>IF(AND('Part VII-Pro Forma'!$G$8="Yes",'Part VII-Pro Forma'!$G$9="Yes"),"Choose One!",IF('Part VII-Pro Forma'!$G$8="Yes",ROUND((-$K$8*(1+'Part VII-Pro Forma'!$B$6)^('Part VII-Pro Forma'!J13-1)),),IF('Part VII-Pro Forma'!$G$9="Yes",ROUND((-(SUM(J14:J17)*'Part VII-Pro Forma'!$K$9)),),"Choose mgt fee")))</f>
        <v>-42707</v>
      </c>
      <c r="K21" s="22">
        <f>IF(AND('Part VII-Pro Forma'!$G$8="Yes",'Part VII-Pro Forma'!$G$9="Yes"),"Choose One!",IF('Part VII-Pro Forma'!$G$8="Yes",ROUND((-$K$8*(1+'Part VII-Pro Forma'!$B$6)^('Part VII-Pro Forma'!K13-1)),),IF('Part VII-Pro Forma'!$G$9="Yes",ROUND((-(SUM(K14:K17)*'Part VII-Pro Forma'!$K$9)),),"Choose mgt fee")))</f>
        <v>-43561</v>
      </c>
      <c r="N21" s="3160"/>
      <c r="O21" s="3162"/>
      <c r="Q21" s="61">
        <v>2</v>
      </c>
      <c r="R21" s="1091">
        <f>-SUM(B31:C31)</f>
        <v>0</v>
      </c>
      <c r="S21" s="1091">
        <f>SUM(B32:C32)+R21</f>
        <v>63200.239570294681</v>
      </c>
    </row>
    <row r="22" spans="1:19" ht="13.35" customHeight="1">
      <c r="A22" s="20" t="s">
        <v>1187</v>
      </c>
      <c r="B22" s="21">
        <f>-('Part VI-Revenues &amp; Expenses'!$P$230)</f>
        <v>-21000</v>
      </c>
      <c r="C22" s="21">
        <f t="shared" ref="C22:K22" si="6">$B$22*(1+$B$7)^(C13-1)</f>
        <v>-21630</v>
      </c>
      <c r="D22" s="21">
        <f t="shared" si="6"/>
        <v>-22278.899999999998</v>
      </c>
      <c r="E22" s="21">
        <f t="shared" si="6"/>
        <v>-22947.267</v>
      </c>
      <c r="F22" s="21">
        <f t="shared" si="6"/>
        <v>-23635.685009999997</v>
      </c>
      <c r="G22" s="21">
        <f t="shared" si="6"/>
        <v>-24344.755560299996</v>
      </c>
      <c r="H22" s="21">
        <f t="shared" si="6"/>
        <v>-25075.098227109</v>
      </c>
      <c r="I22" s="21">
        <f t="shared" si="6"/>
        <v>-25827.35117392227</v>
      </c>
      <c r="J22" s="21">
        <f t="shared" si="6"/>
        <v>-26602.171709139933</v>
      </c>
      <c r="K22" s="22">
        <f t="shared" si="6"/>
        <v>-27400.236860414134</v>
      </c>
      <c r="N22" s="3160"/>
      <c r="O22" s="3162"/>
      <c r="Q22" s="61">
        <v>3</v>
      </c>
      <c r="R22" s="1091">
        <f>-SUM(B31:D31)</f>
        <v>0</v>
      </c>
      <c r="S22" s="1091">
        <f>SUM(B32:D32)+R22</f>
        <v>95624.315745202039</v>
      </c>
    </row>
    <row r="23" spans="1:19" ht="13.35" customHeight="1">
      <c r="A23" s="420" t="s">
        <v>4606</v>
      </c>
      <c r="B23" s="2436">
        <f>IF(B13&lt;=+'Part VI-Revenues &amp; Expenses'!$K$243,-'Part VI-Revenues &amp; Expenses'!$H$243,0)</f>
        <v>0</v>
      </c>
      <c r="C23" s="2436">
        <f>IF(C13&lt;=+'Part VI-Revenues &amp; Expenses'!$K$243,-'Part VI-Revenues &amp; Expenses'!$H$243,0)</f>
        <v>0</v>
      </c>
      <c r="D23" s="2436">
        <f>IF(D13&lt;=+'Part VI-Revenues &amp; Expenses'!$K$243,-'Part VI-Revenues &amp; Expenses'!$H$243,0)</f>
        <v>0</v>
      </c>
      <c r="E23" s="2436">
        <f>IF(E13&lt;=+'Part VI-Revenues &amp; Expenses'!$K$243,-'Part VI-Revenues &amp; Expenses'!$H$243,0)</f>
        <v>0</v>
      </c>
      <c r="F23" s="2436">
        <f>IF(F13&lt;=+'Part VI-Revenues &amp; Expenses'!$K$243,-'Part VI-Revenues &amp; Expenses'!$H$243,0)</f>
        <v>0</v>
      </c>
      <c r="G23" s="2436">
        <f>IF(G13&lt;=+'Part VI-Revenues &amp; Expenses'!$K$243,-'Part VI-Revenues &amp; Expenses'!$H$243,0)</f>
        <v>0</v>
      </c>
      <c r="H23" s="2436">
        <f>IF(H13&lt;=+'Part VI-Revenues &amp; Expenses'!$K$243,-'Part VI-Revenues &amp; Expenses'!$H$243,0)</f>
        <v>0</v>
      </c>
      <c r="I23" s="2436">
        <f>IF(I13&lt;=+'Part VI-Revenues &amp; Expenses'!$K$243,-'Part VI-Revenues &amp; Expenses'!$H$243,0)</f>
        <v>0</v>
      </c>
      <c r="J23" s="2436">
        <f>IF(J13&lt;=+'Part VI-Revenues &amp; Expenses'!$K$243,-'Part VI-Revenues &amp; Expenses'!$H$243,0)</f>
        <v>0</v>
      </c>
      <c r="K23" s="2436">
        <f>IF(K13&lt;=+'Part VI-Revenues &amp; Expenses'!$K$243,-'Part VI-Revenues &amp; Expenses'!$H$243,0)</f>
        <v>0</v>
      </c>
      <c r="N23" s="3160"/>
      <c r="O23" s="3162"/>
      <c r="Q23" s="971">
        <v>10</v>
      </c>
      <c r="R23" s="1091">
        <f>-SUM(B28:K28)</f>
        <v>0</v>
      </c>
      <c r="S23" s="1091">
        <f>SUM(B29:K29)+R23</f>
        <v>0</v>
      </c>
    </row>
    <row r="24" spans="1:19" ht="13.35" customHeight="1">
      <c r="A24" s="20" t="s">
        <v>1188</v>
      </c>
      <c r="B24" s="21">
        <f>SUM(B19:B23)</f>
        <v>251828.89439999999</v>
      </c>
      <c r="C24" s="21">
        <f t="shared" ref="C24:J24" si="7">SUM(C19:C23)</f>
        <v>252458.232288</v>
      </c>
      <c r="D24" s="21">
        <f t="shared" si="7"/>
        <v>252967.51973376001</v>
      </c>
      <c r="E24" s="21">
        <f t="shared" si="7"/>
        <v>253351.6892124351</v>
      </c>
      <c r="F24" s="21">
        <f t="shared" si="7"/>
        <v>253602.43285320388</v>
      </c>
      <c r="G24" s="21">
        <f t="shared" si="7"/>
        <v>253714.19406248364</v>
      </c>
      <c r="H24" s="21">
        <f t="shared" si="7"/>
        <v>253679.15887251531</v>
      </c>
      <c r="I24" s="21">
        <f t="shared" si="7"/>
        <v>253490.247006611</v>
      </c>
      <c r="J24" s="21">
        <f t="shared" si="7"/>
        <v>253140.10265208827</v>
      </c>
      <c r="K24" s="1611">
        <f>SUM(K19:K23)</f>
        <v>252620.08493163533</v>
      </c>
      <c r="N24" s="3160"/>
      <c r="O24" s="3162"/>
      <c r="Q24" s="971">
        <v>4</v>
      </c>
      <c r="R24" s="1091">
        <f>-SUM(B31:E31)</f>
        <v>0</v>
      </c>
      <c r="S24" s="1091">
        <f>SUM(B32:E32)+R24</f>
        <v>128432.56139878448</v>
      </c>
    </row>
    <row r="25" spans="1:19" ht="13.35" customHeight="1">
      <c r="A25" s="420" t="s">
        <v>1572</v>
      </c>
      <c r="B25" s="2437">
        <f>IF('Part III-Sources of Funds'!$P$38="", 0,-'Part III-Sources of Funds'!$P$38)</f>
        <v>-173996.44355885265</v>
      </c>
      <c r="C25" s="2437">
        <f>IF('Part III-Sources of Funds'!$P$38="", 0,-'Part III-Sources of Funds'!$P$38)</f>
        <v>-173996.44355885265</v>
      </c>
      <c r="D25" s="2437">
        <f>IF('Part III-Sources of Funds'!$P$38="", 0,-'Part III-Sources of Funds'!$P$38)</f>
        <v>-173996.44355885265</v>
      </c>
      <c r="E25" s="2437">
        <f>IF('Part III-Sources of Funds'!$P$38="", 0,-'Part III-Sources of Funds'!$P$38)</f>
        <v>-173996.44355885265</v>
      </c>
      <c r="F25" s="2437">
        <f>IF('Part III-Sources of Funds'!$P$38="", 0,-'Part III-Sources of Funds'!$P$38)</f>
        <v>-173996.44355885265</v>
      </c>
      <c r="G25" s="2437">
        <f>IF('Part III-Sources of Funds'!$P$38="", 0,-'Part III-Sources of Funds'!$P$38)</f>
        <v>-173996.44355885265</v>
      </c>
      <c r="H25" s="2437">
        <f>IF('Part III-Sources of Funds'!$P$38="", 0,-'Part III-Sources of Funds'!$P$38)</f>
        <v>-173996.44355885265</v>
      </c>
      <c r="I25" s="2437">
        <f>IF('Part III-Sources of Funds'!$P$38="", 0,-'Part III-Sources of Funds'!$P$38)</f>
        <v>-173996.44355885265</v>
      </c>
      <c r="J25" s="2437">
        <f>IF('Part III-Sources of Funds'!$P$38="", 0,-'Part III-Sources of Funds'!$P$38)</f>
        <v>-173996.44355885265</v>
      </c>
      <c r="K25" s="2437">
        <f>IF('Part III-Sources of Funds'!$P$38="", 0,-'Part III-Sources of Funds'!$P$38)</f>
        <v>-173996.44355885265</v>
      </c>
      <c r="N25" s="3160"/>
      <c r="O25" s="3162"/>
      <c r="Q25" s="971">
        <v>5</v>
      </c>
      <c r="R25" s="1091">
        <f>-SUM(B31:F31)</f>
        <v>0</v>
      </c>
      <c r="S25" s="1091">
        <f>SUM(B32:F32)+R25</f>
        <v>161491.55069313571</v>
      </c>
    </row>
    <row r="26" spans="1:19" ht="13.35" customHeight="1">
      <c r="A26" s="420" t="s">
        <v>1573</v>
      </c>
      <c r="B26" s="2438">
        <v>-36547</v>
      </c>
      <c r="C26" s="2438">
        <v>-36547</v>
      </c>
      <c r="D26" s="2438">
        <v>-36547</v>
      </c>
      <c r="E26" s="2438">
        <v>-36547</v>
      </c>
      <c r="F26" s="2438">
        <v>-36547</v>
      </c>
      <c r="G26" s="2438">
        <v>-36547</v>
      </c>
      <c r="H26" s="2438">
        <v>-36547</v>
      </c>
      <c r="I26" s="2438">
        <v>-36547</v>
      </c>
      <c r="J26" s="2438">
        <v>-36547</v>
      </c>
      <c r="K26" s="2438">
        <v>-36547</v>
      </c>
      <c r="N26" s="3160"/>
      <c r="O26" s="3162"/>
      <c r="Q26" s="971">
        <v>6</v>
      </c>
      <c r="R26" s="1091">
        <f>-SUM(B31:G31)</f>
        <v>0</v>
      </c>
      <c r="S26" s="1091">
        <f>SUM(B32:G32)+R26</f>
        <v>194662.3011967667</v>
      </c>
    </row>
    <row r="27" spans="1:19" ht="13.35" customHeight="1">
      <c r="A27" s="420" t="s">
        <v>1574</v>
      </c>
      <c r="B27" s="2438">
        <f>IF('Part III-Sources of Funds'!$P$40="", 0,-'Part III-Sources of Funds'!$P$40)</f>
        <v>0</v>
      </c>
      <c r="C27" s="2438">
        <f>IF('Part III-Sources of Funds'!$P$40="", 0,-'Part III-Sources of Funds'!$P$40)</f>
        <v>0</v>
      </c>
      <c r="D27" s="2438">
        <f>IF('Part III-Sources of Funds'!$P$40="", 0,-'Part III-Sources of Funds'!$P$40)</f>
        <v>0</v>
      </c>
      <c r="E27" s="2438">
        <f>IF('Part III-Sources of Funds'!$P$40="", 0,-'Part III-Sources of Funds'!$P$40)</f>
        <v>0</v>
      </c>
      <c r="F27" s="2438">
        <f>IF('Part III-Sources of Funds'!$P$40="", 0,-'Part III-Sources of Funds'!$P$40)</f>
        <v>0</v>
      </c>
      <c r="G27" s="2438">
        <f>IF('Part III-Sources of Funds'!$P$40="", 0,-'Part III-Sources of Funds'!$P$40)</f>
        <v>0</v>
      </c>
      <c r="H27" s="2438">
        <f>IF('Part III-Sources of Funds'!$P$40="", 0,-'Part III-Sources of Funds'!$P$40)</f>
        <v>0</v>
      </c>
      <c r="I27" s="2438">
        <f>IF('Part III-Sources of Funds'!$P$40="", 0,-'Part III-Sources of Funds'!$P$40)</f>
        <v>0</v>
      </c>
      <c r="J27" s="2438">
        <f>IF('Part III-Sources of Funds'!$P$40="", 0,-'Part III-Sources of Funds'!$P$40)</f>
        <v>0</v>
      </c>
      <c r="K27" s="2438">
        <f>IF('Part III-Sources of Funds'!$P$40="", 0,-'Part III-Sources of Funds'!$P$40)</f>
        <v>0</v>
      </c>
      <c r="N27" s="3160"/>
      <c r="O27" s="3162"/>
      <c r="Q27" s="971">
        <v>7</v>
      </c>
      <c r="R27" s="1091">
        <f>-SUM(B31:H31)</f>
        <v>0</v>
      </c>
      <c r="S27" s="1091">
        <f>SUM(B32:H32)+R27</f>
        <v>227798.01651042936</v>
      </c>
    </row>
    <row r="28" spans="1:19" ht="13.35" customHeight="1">
      <c r="A28" s="420" t="s">
        <v>3723</v>
      </c>
      <c r="B28" s="2438">
        <f>IF('Part III-Sources of Funds'!$P$41="", 0,-'Part III-Sources of Funds'!$P$41)</f>
        <v>0</v>
      </c>
      <c r="C28" s="2438">
        <f>IF('Part III-Sources of Funds'!$P$41="", 0,-'Part III-Sources of Funds'!$P$41)</f>
        <v>0</v>
      </c>
      <c r="D28" s="2438">
        <f>IF('Part III-Sources of Funds'!$P$41="", 0,-'Part III-Sources of Funds'!$P$41)</f>
        <v>0</v>
      </c>
      <c r="E28" s="2438">
        <f>IF('Part III-Sources of Funds'!$P$41="", 0,-'Part III-Sources of Funds'!$P$41)</f>
        <v>0</v>
      </c>
      <c r="F28" s="2438">
        <f>IF('Part III-Sources of Funds'!$P$41="", 0,-'Part III-Sources of Funds'!$P$41)</f>
        <v>0</v>
      </c>
      <c r="G28" s="2438">
        <f>IF('Part III-Sources of Funds'!$P$41="", 0,-'Part III-Sources of Funds'!$P$41)</f>
        <v>0</v>
      </c>
      <c r="H28" s="2438">
        <f>IF('Part III-Sources of Funds'!$P$41="", 0,-'Part III-Sources of Funds'!$P$41)</f>
        <v>0</v>
      </c>
      <c r="I28" s="2438">
        <f>IF('Part III-Sources of Funds'!$P$41="", 0,-'Part III-Sources of Funds'!$P$41)</f>
        <v>0</v>
      </c>
      <c r="J28" s="2438">
        <f>IF('Part III-Sources of Funds'!$P$41="", 0,-'Part III-Sources of Funds'!$P$41)</f>
        <v>0</v>
      </c>
      <c r="K28" s="2438">
        <f>IF('Part III-Sources of Funds'!$P$41="", 0,-'Part III-Sources of Funds'!$P$41)</f>
        <v>0</v>
      </c>
      <c r="N28" s="3160"/>
      <c r="O28" s="3162"/>
      <c r="Q28" s="971">
        <v>8</v>
      </c>
      <c r="R28" s="1091">
        <f>-SUM(B31:I31)</f>
        <v>0</v>
      </c>
      <c r="S28" s="1091">
        <f>SUM(B32:I32)+R28</f>
        <v>260744.8199581877</v>
      </c>
    </row>
    <row r="29" spans="1:19" ht="13.35" customHeight="1">
      <c r="A29" s="20" t="s">
        <v>752</v>
      </c>
      <c r="B29" s="2439"/>
      <c r="C29" s="2439"/>
      <c r="D29" s="2439"/>
      <c r="E29" s="2439"/>
      <c r="F29" s="2439"/>
      <c r="G29" s="2439"/>
      <c r="H29" s="2439"/>
      <c r="I29" s="2439"/>
      <c r="J29" s="2439"/>
      <c r="K29" s="2439"/>
      <c r="N29" s="3160"/>
      <c r="O29" s="3162"/>
      <c r="Q29" s="971">
        <v>9</v>
      </c>
      <c r="R29" s="1091">
        <f>-SUM(B31:J31)</f>
        <v>0</v>
      </c>
      <c r="S29" s="1091">
        <f>SUM(B32:J32)+R29</f>
        <v>293341.47905142332</v>
      </c>
    </row>
    <row r="30" spans="1:19" ht="13.35" customHeight="1">
      <c r="A30" s="420" t="s">
        <v>1150</v>
      </c>
      <c r="B30" s="2440">
        <f>-$G$5</f>
        <v>-10000</v>
      </c>
      <c r="C30" s="2440">
        <f t="shared" ref="C30:K30" si="8">+B30</f>
        <v>-10000</v>
      </c>
      <c r="D30" s="2440">
        <f t="shared" si="8"/>
        <v>-10000</v>
      </c>
      <c r="E30" s="2440">
        <f t="shared" si="8"/>
        <v>-10000</v>
      </c>
      <c r="F30" s="2440">
        <f t="shared" si="8"/>
        <v>-10000</v>
      </c>
      <c r="G30" s="2440">
        <f t="shared" si="8"/>
        <v>-10000</v>
      </c>
      <c r="H30" s="2440">
        <f t="shared" si="8"/>
        <v>-10000</v>
      </c>
      <c r="I30" s="2440">
        <f t="shared" si="8"/>
        <v>-10000</v>
      </c>
      <c r="J30" s="2440">
        <f t="shared" si="8"/>
        <v>-10000</v>
      </c>
      <c r="K30" s="2440">
        <f t="shared" si="8"/>
        <v>-10000</v>
      </c>
      <c r="N30" s="3160"/>
      <c r="O30" s="3162"/>
      <c r="Q30" s="971">
        <v>10</v>
      </c>
      <c r="R30" s="1091">
        <f>-SUM(B31:K31)</f>
        <v>0</v>
      </c>
      <c r="S30" s="1091">
        <f>SUM(B32:K32)+R30</f>
        <v>325418.12042420602</v>
      </c>
    </row>
    <row r="31" spans="1:19" ht="13.35" customHeight="1">
      <c r="A31" s="420" t="s">
        <v>3901</v>
      </c>
      <c r="B31" s="2441">
        <f>IF('Part III-Sources of Funds'!$P$43="", 0,-'Part III-Sources of Funds'!$P$43)</f>
        <v>0</v>
      </c>
      <c r="C31" s="2441">
        <f>IF('Part III-Sources of Funds'!$P$43="", 0,-'Part III-Sources of Funds'!$P$43)</f>
        <v>0</v>
      </c>
      <c r="D31" s="2441">
        <f>IF('Part III-Sources of Funds'!$P$43="", 0,-'Part III-Sources of Funds'!$P$43)</f>
        <v>0</v>
      </c>
      <c r="E31" s="2441">
        <f>IF('Part III-Sources of Funds'!$P$43="", 0,-'Part III-Sources of Funds'!$P$43)</f>
        <v>0</v>
      </c>
      <c r="F31" s="2441">
        <f>IF('Part III-Sources of Funds'!$P$43="", 0,-'Part III-Sources of Funds'!$P$43)</f>
        <v>0</v>
      </c>
      <c r="G31" s="2441">
        <f>IF('Part III-Sources of Funds'!$P$43="", 0,-'Part III-Sources of Funds'!$P$43)</f>
        <v>0</v>
      </c>
      <c r="H31" s="2441">
        <f>IF('Part III-Sources of Funds'!$P$43="", 0,-'Part III-Sources of Funds'!$P$43)</f>
        <v>0</v>
      </c>
      <c r="I31" s="2441">
        <f>IF('Part III-Sources of Funds'!$P$43="", 0,-'Part III-Sources of Funds'!$P$43)</f>
        <v>0</v>
      </c>
      <c r="J31" s="2441">
        <f>IF('Part III-Sources of Funds'!$P$43="", 0,-'Part III-Sources of Funds'!$P$43)</f>
        <v>0</v>
      </c>
      <c r="K31" s="2441">
        <f>IF('Part III-Sources of Funds'!$P$43="", 0,-'Part III-Sources of Funds'!$P$43)</f>
        <v>0</v>
      </c>
      <c r="N31" s="3160"/>
      <c r="O31" s="3162"/>
      <c r="Q31" s="971">
        <v>11</v>
      </c>
      <c r="R31" s="1091">
        <f>-SUM(B31:K31)-B63</f>
        <v>0</v>
      </c>
      <c r="S31" s="1091">
        <f>SUM(B32:K32)+B64+R31</f>
        <v>356795.93492892175</v>
      </c>
    </row>
    <row r="32" spans="1:19" ht="13.35" customHeight="1">
      <c r="A32" s="20" t="s">
        <v>1151</v>
      </c>
      <c r="B32" s="21">
        <f t="shared" ref="B32:K32" si="9">SUM(B24:B31)</f>
        <v>31285.450841147336</v>
      </c>
      <c r="C32" s="21">
        <f t="shared" si="9"/>
        <v>31914.788729147345</v>
      </c>
      <c r="D32" s="21">
        <f t="shared" si="9"/>
        <v>32424.076174907357</v>
      </c>
      <c r="E32" s="21">
        <f t="shared" si="9"/>
        <v>32808.245653582446</v>
      </c>
      <c r="F32" s="21">
        <f t="shared" si="9"/>
        <v>33058.989294351224</v>
      </c>
      <c r="G32" s="21">
        <f t="shared" si="9"/>
        <v>33170.750503630989</v>
      </c>
      <c r="H32" s="21">
        <f t="shared" si="9"/>
        <v>33135.715313662658</v>
      </c>
      <c r="I32" s="21">
        <f t="shared" si="9"/>
        <v>32946.803447758342</v>
      </c>
      <c r="J32" s="21">
        <f t="shared" si="9"/>
        <v>32596.659093235619</v>
      </c>
      <c r="K32" s="22">
        <f t="shared" si="9"/>
        <v>32076.641372782673</v>
      </c>
      <c r="N32" s="3160"/>
      <c r="O32" s="3162"/>
      <c r="Q32" s="971">
        <v>12</v>
      </c>
      <c r="R32" s="1091">
        <f>-SUM(B31:K31) - SUM(B63:C63)</f>
        <v>0</v>
      </c>
      <c r="S32" s="1091">
        <f>SUM(B32:K32) + SUM(B64:C64)+R32</f>
        <v>387289.87257120817</v>
      </c>
    </row>
    <row r="33" spans="1:19" ht="13.35" customHeight="1">
      <c r="A33" s="20" t="str">
        <f>IF('Part III-Sources of Funds'!$E$38 = "Neither", "", "DCR Mortgage A")</f>
        <v>DCR Mortgage A</v>
      </c>
      <c r="B33" s="23">
        <f t="shared" ref="B33:K33" si="10">IF(B25=0,"",-B24/B25)</f>
        <v>1.4473220788264056</v>
      </c>
      <c r="C33" s="23">
        <f t="shared" si="10"/>
        <v>1.4509390371683568</v>
      </c>
      <c r="D33" s="23">
        <f t="shared" si="10"/>
        <v>1.4538660363376688</v>
      </c>
      <c r="E33" s="23">
        <f t="shared" si="10"/>
        <v>1.4560739520330557</v>
      </c>
      <c r="F33" s="23">
        <f t="shared" si="10"/>
        <v>1.4575150368945631</v>
      </c>
      <c r="G33" s="23">
        <f t="shared" si="10"/>
        <v>1.4581573558235816</v>
      </c>
      <c r="H33" s="23">
        <f t="shared" si="10"/>
        <v>1.4579560000415224</v>
      </c>
      <c r="I33" s="23">
        <f t="shared" si="10"/>
        <v>1.4568702774713342</v>
      </c>
      <c r="J33" s="23">
        <f t="shared" si="10"/>
        <v>1.4548579124634007</v>
      </c>
      <c r="K33" s="24">
        <f t="shared" si="10"/>
        <v>1.4518692437882443</v>
      </c>
      <c r="N33" s="3160"/>
      <c r="O33" s="3162"/>
      <c r="Q33" s="971">
        <v>13</v>
      </c>
      <c r="R33" s="1091">
        <f>-SUM(B31:K31) - SUM(B63:D63)</f>
        <v>0</v>
      </c>
      <c r="S33" s="1091">
        <f>SUM(B32:K32) + SUM(B64:D64)+R33</f>
        <v>416703.32695310592</v>
      </c>
    </row>
    <row r="34" spans="1:19" ht="13.35" customHeight="1">
      <c r="A34" s="20" t="str">
        <f>IF('Part III-Sources of Funds'!$E$38 = "Neither", "", "DCR Mortgage B")</f>
        <v>DCR Mortgage B</v>
      </c>
      <c r="B34" s="23">
        <f t="shared" ref="B34:K34" si="11">IF(B26=0,"",-(B24+B25)/B26)</f>
        <v>2.1296536197539426</v>
      </c>
      <c r="C34" s="23">
        <f t="shared" si="11"/>
        <v>2.1468735800242795</v>
      </c>
      <c r="D34" s="23">
        <f t="shared" si="11"/>
        <v>2.1608087168552101</v>
      </c>
      <c r="E34" s="23">
        <f t="shared" si="11"/>
        <v>2.1713203724952104</v>
      </c>
      <c r="F34" s="23">
        <f t="shared" si="11"/>
        <v>2.1781812267587277</v>
      </c>
      <c r="G34" s="23">
        <f t="shared" si="11"/>
        <v>2.1812392399822418</v>
      </c>
      <c r="H34" s="23">
        <f t="shared" si="11"/>
        <v>2.1802806061691156</v>
      </c>
      <c r="I34" s="23">
        <f t="shared" si="11"/>
        <v>2.1751115945975958</v>
      </c>
      <c r="J34" s="23">
        <f t="shared" si="11"/>
        <v>2.1655309353226153</v>
      </c>
      <c r="K34" s="24">
        <f t="shared" si="11"/>
        <v>2.151302196426045</v>
      </c>
      <c r="N34" s="3160"/>
      <c r="O34" s="3162"/>
      <c r="Q34" s="971">
        <v>14</v>
      </c>
      <c r="R34" s="1091">
        <f>-SUM(B31:K31) - SUM(B63:E63)</f>
        <v>0</v>
      </c>
      <c r="S34" s="1091">
        <f>SUM(B32:K32) + SUM(B64:E64)+R34</f>
        <v>444832.80888287473</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160"/>
      <c r="O35" s="3162"/>
      <c r="Q35" s="971">
        <v>15</v>
      </c>
      <c r="R35" s="1091">
        <f>-SUM(B31:K31) - SUM(B63:F63)</f>
        <v>0</v>
      </c>
      <c r="S35" s="1091">
        <f>SUM(B32:K32) + SUM(B64:F64)+R35</f>
        <v>471463.60879914369</v>
      </c>
    </row>
    <row r="36" spans="1:19" ht="13.35" customHeight="1">
      <c r="A36" s="20" t="s">
        <v>771</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160"/>
      <c r="O36" s="3162"/>
      <c r="Q36" s="61">
        <v>16</v>
      </c>
      <c r="R36" s="1091">
        <f>-SUM(B31:K31) - SUM(B63:G63)</f>
        <v>0</v>
      </c>
      <c r="S36" s="1091">
        <f>SUM(B32:K32) + SUM(B64:G64)+R36</f>
        <v>496371.44764594443</v>
      </c>
    </row>
    <row r="37" spans="1:19" ht="13.35" customHeight="1">
      <c r="A37" s="420" t="s">
        <v>3611</v>
      </c>
      <c r="B37" s="23">
        <f t="shared" ref="B37:K37" si="14">IF(AND(B25=0,B26=0,B27=0,B28=0),"",-B24/(B25+B26+B27+B28))</f>
        <v>1.1960899382250625</v>
      </c>
      <c r="C37" s="23">
        <f t="shared" si="14"/>
        <v>1.1990790500081805</v>
      </c>
      <c r="D37" s="23">
        <f t="shared" si="14"/>
        <v>1.2014979685798131</v>
      </c>
      <c r="E37" s="23">
        <f t="shared" si="14"/>
        <v>1.203322625155109</v>
      </c>
      <c r="F37" s="23">
        <f t="shared" si="14"/>
        <v>1.2045135605579429</v>
      </c>
      <c r="G37" s="23">
        <f t="shared" si="14"/>
        <v>1.2050443831159414</v>
      </c>
      <c r="H37" s="23">
        <f t="shared" si="14"/>
        <v>1.2048779795016749</v>
      </c>
      <c r="I37" s="23">
        <f t="shared" si="14"/>
        <v>1.2039807211367926</v>
      </c>
      <c r="J37" s="23">
        <f t="shared" si="14"/>
        <v>1.2023176707534409</v>
      </c>
      <c r="K37" s="24">
        <f t="shared" si="14"/>
        <v>1.1998477875233435</v>
      </c>
      <c r="N37" s="3160"/>
      <c r="O37" s="3162"/>
      <c r="Q37" s="61">
        <v>17</v>
      </c>
      <c r="R37" s="1091">
        <f>-SUM(B31:K31) - SUM(B63:H63)</f>
        <v>0</v>
      </c>
      <c r="S37" s="1091">
        <f>SUM(B32:K32) + SUM(B64:H64)+R37</f>
        <v>519322.11582371907</v>
      </c>
    </row>
    <row r="38" spans="1:19" ht="13.35" customHeight="1">
      <c r="A38" s="20" t="s">
        <v>759</v>
      </c>
      <c r="B38" s="266">
        <f t="shared" ref="B38:K38" si="15">IF(OR(B21="Choose mgt fee",B21="Choose One!"),"",(B14+B15+B16+B17+B18) / -(B20+B21+B22))</f>
        <v>1.5277506620226584</v>
      </c>
      <c r="C38" s="266">
        <f t="shared" si="15"/>
        <v>1.514040979830948</v>
      </c>
      <c r="D38" s="266">
        <f t="shared" si="15"/>
        <v>1.5004430853675235</v>
      </c>
      <c r="E38" s="266">
        <f t="shared" si="15"/>
        <v>1.4869600559429148</v>
      </c>
      <c r="F38" s="266">
        <f t="shared" si="15"/>
        <v>1.4735861722495593</v>
      </c>
      <c r="G38" s="266">
        <f t="shared" si="15"/>
        <v>1.4603243985757206</v>
      </c>
      <c r="H38" s="266">
        <f t="shared" si="15"/>
        <v>1.4471720818545939</v>
      </c>
      <c r="I38" s="266">
        <f t="shared" si="15"/>
        <v>1.4341293149188663</v>
      </c>
      <c r="J38" s="266">
        <f t="shared" si="15"/>
        <v>1.4211960875276837</v>
      </c>
      <c r="K38" s="267">
        <f t="shared" si="15"/>
        <v>1.4083700181752623</v>
      </c>
      <c r="N38" s="3160"/>
      <c r="O38" s="3162"/>
      <c r="Q38" s="61">
        <v>18</v>
      </c>
      <c r="R38" s="1091">
        <f>-SUM(B31:K31) - SUM(B63:I63)</f>
        <v>0</v>
      </c>
      <c r="S38" s="1091">
        <f>SUM(B32:K32) + SUM(B64:I64)+R38</f>
        <v>540070.09982957249</v>
      </c>
    </row>
    <row r="39" spans="1:19" ht="13.35" customHeight="1">
      <c r="A39" s="420" t="s">
        <v>2583</v>
      </c>
      <c r="B39" s="2442">
        <f>IF('Part III-Sources of Funds'!$I$38="","",-FV('Part III-Sources of Funds'!$K$38/12,12,B25/12,'Part III-Sources of Funds'!$I$38))</f>
        <v>2381457.6130062216</v>
      </c>
      <c r="C39" s="2442">
        <f>IF('Part III-Sources of Funds'!$I$38="","",-FV('Part III-Sources of Funds'!$K$38/12,12,C25/12,B39))</f>
        <v>2361673.4080149219</v>
      </c>
      <c r="D39" s="2442">
        <f>IF('Part III-Sources of Funds'!$I$38="","",-FV('Part III-Sources of Funds'!$K$38/12,12,D25/12,C39))</f>
        <v>2340564.2181749567</v>
      </c>
      <c r="E39" s="2442">
        <f>IF('Part III-Sources of Funds'!$I$38="","",-FV('Part III-Sources of Funds'!$K$38/12,12,E25/12,D39))</f>
        <v>2318041.3067971361</v>
      </c>
      <c r="F39" s="2442">
        <f>IF('Part III-Sources of Funds'!$I$38="","",-FV('Part III-Sources of Funds'!$K$38/12,12,F25/12,E39))</f>
        <v>2294009.9943318535</v>
      </c>
      <c r="G39" s="2442">
        <f>IF('Part III-Sources of Funds'!$I$38="","",-FV('Part III-Sources of Funds'!$K$38/12,12,G25/12,F39))</f>
        <v>2268369.2603647192</v>
      </c>
      <c r="H39" s="2442">
        <f>IF('Part III-Sources of Funds'!$I$38="","",-FV('Part III-Sources of Funds'!$K$38/12,12,H25/12,G39))</f>
        <v>2241011.3189571011</v>
      </c>
      <c r="I39" s="2442">
        <f>IF('Part III-Sources of Funds'!$I$38="","",-FV('Part III-Sources of Funds'!$K$38/12,12,I25/12,H39))</f>
        <v>2211821.1655464377</v>
      </c>
      <c r="J39" s="2442">
        <f>IF('Part III-Sources of Funds'!$I$38="","",-FV('Part III-Sources of Funds'!$K$38/12,12,J25/12,I39))</f>
        <v>2180676.0935016242</v>
      </c>
      <c r="K39" s="2442">
        <f>IF('Part III-Sources of Funds'!$I$38="","",-FV('Part III-Sources of Funds'!$K$38/12,12,K25/12,J39))</f>
        <v>2147445.1783012166</v>
      </c>
      <c r="N39" s="3160"/>
      <c r="O39" s="3162"/>
      <c r="Q39" s="971">
        <v>19</v>
      </c>
      <c r="R39" s="1091">
        <f>-SUM(B31:K31) - SUM(B63:J63)</f>
        <v>0</v>
      </c>
      <c r="S39" s="1091">
        <f>SUM(B32:K32) + SUM(B64:J64)+R39</f>
        <v>558359.19618786662</v>
      </c>
    </row>
    <row r="40" spans="1:19" ht="13.35" customHeight="1">
      <c r="A40" s="420" t="s">
        <v>2584</v>
      </c>
      <c r="B40" s="2438">
        <f>IF('Part III-Sources of Funds'!$I$39="","",-FV('Part III-Sources of Funds'!$K$39/12,12,B26/12,'Part III-Sources of Funds'!$I$39))</f>
        <v>1175340.1798102378</v>
      </c>
      <c r="C40" s="2438">
        <f>IF('Part III-Sources of Funds'!$I$39="","",-FV('Part III-Sources of Funds'!$K$39/12,12,C26/12,B40))</f>
        <v>1150432.6280313644</v>
      </c>
      <c r="D40" s="2438">
        <f>IF('Part III-Sources of Funds'!$I$39="","",-FV('Part III-Sources of Funds'!$K$39/12,12,D26/12,C40))</f>
        <v>1125274.8559615249</v>
      </c>
      <c r="E40" s="2438">
        <f>IF('Part III-Sources of Funds'!$I$39="","",-FV('Part III-Sources of Funds'!$K$39/12,12,E26/12,D40))</f>
        <v>1099864.3498974633</v>
      </c>
      <c r="F40" s="2438">
        <f>IF('Part III-Sources of Funds'!$I$39="","",-FV('Part III-Sources of Funds'!$K$39/12,12,F26/12,E40))</f>
        <v>1074198.5708833586</v>
      </c>
      <c r="G40" s="2438">
        <f>IF('Part III-Sources of Funds'!$I$39="","",-FV('Part III-Sources of Funds'!$K$39/12,12,G26/12,F40))</f>
        <v>1048274.9544571391</v>
      </c>
      <c r="H40" s="2438">
        <f>IF('Part III-Sources of Funds'!$I$39="","",-FV('Part III-Sources of Funds'!$K$39/12,12,H26/12,G40))</f>
        <v>1022090.9103942476</v>
      </c>
      <c r="I40" s="2438">
        <f>IF('Part III-Sources of Funds'!$I$39="","",-FV('Part III-Sources of Funds'!$K$39/12,12,I26/12,H40))</f>
        <v>995643.8224488321</v>
      </c>
      <c r="J40" s="2438">
        <f>IF('Part III-Sources of Funds'!$I$39="","",-FV('Part III-Sources of Funds'!$K$39/12,12,J26/12,I40))</f>
        <v>968931.04809233709</v>
      </c>
      <c r="K40" s="2438">
        <f>IF('Part III-Sources of Funds'!$I$39="","",-FV('Part III-Sources of Funds'!$K$39/12,12,K26/12,J40))</f>
        <v>941949.91824946867</v>
      </c>
      <c r="N40" s="3160"/>
      <c r="O40" s="3162"/>
      <c r="Q40" s="971">
        <v>20</v>
      </c>
      <c r="R40" s="1091">
        <f>-SUM(B31:K31) - SUM(B63:K63)</f>
        <v>0</v>
      </c>
      <c r="S40" s="1091">
        <f>SUM(B32:K32) + SUM(B64:K64)+R40</f>
        <v>573922.1122596846</v>
      </c>
    </row>
    <row r="41" spans="1:19" ht="13.35" customHeight="1">
      <c r="A41" s="420" t="s">
        <v>2585</v>
      </c>
      <c r="B41" s="2438" t="str">
        <f>IF('Part III-Sources of Funds'!$I$40="","",-FV('Part III-Sources of Funds'!$K$40/12,12,B27/12,'Part III-Sources of Funds'!$I$40))</f>
        <v/>
      </c>
      <c r="C41" s="2438" t="str">
        <f>IF('Part III-Sources of Funds'!$I$40="","",-FV('Part III-Sources of Funds'!$K$40/12,12,C27/12,B41))</f>
        <v/>
      </c>
      <c r="D41" s="2438" t="str">
        <f>IF('Part III-Sources of Funds'!$I$40="","",-FV('Part III-Sources of Funds'!$K$40/12,12,D27/12,C41))</f>
        <v/>
      </c>
      <c r="E41" s="2438" t="str">
        <f>IF('Part III-Sources of Funds'!$I$40="","",-FV('Part III-Sources of Funds'!$K$40/12,12,E27/12,D41))</f>
        <v/>
      </c>
      <c r="F41" s="2438" t="str">
        <f>IF('Part III-Sources of Funds'!$I$40="","",-FV('Part III-Sources of Funds'!$K$40/12,12,F27/12,E41))</f>
        <v/>
      </c>
      <c r="G41" s="2438" t="str">
        <f>IF('Part III-Sources of Funds'!$I$40="","",-FV('Part III-Sources of Funds'!$K$40/12,12,G27/12,F41))</f>
        <v/>
      </c>
      <c r="H41" s="2438" t="str">
        <f>IF('Part III-Sources of Funds'!$I$40="","",-FV('Part III-Sources of Funds'!$K$40/12,12,H27/12,G41))</f>
        <v/>
      </c>
      <c r="I41" s="2438" t="str">
        <f>IF('Part III-Sources of Funds'!$I$40="","",-FV('Part III-Sources of Funds'!$K$40/12,12,I27/12,H41))</f>
        <v/>
      </c>
      <c r="J41" s="2438" t="str">
        <f>IF('Part III-Sources of Funds'!$I$40="","",-FV('Part III-Sources of Funds'!$K$40/12,12,J27/12,I41))</f>
        <v/>
      </c>
      <c r="K41" s="2438" t="str">
        <f>IF('Part III-Sources of Funds'!$I$40="","",-FV('Part III-Sources of Funds'!$K$40/12,12,K27/12,J41))</f>
        <v/>
      </c>
      <c r="N41" s="3160"/>
      <c r="O41" s="3162"/>
    </row>
    <row r="42" spans="1:19" ht="13.35" customHeight="1">
      <c r="A42" s="20" t="s">
        <v>772</v>
      </c>
      <c r="B42" s="2438" t="str">
        <f>IF('Part III-Sources of Funds'!$I$41="","",-FV('Part III-Sources of Funds'!$K$41/12,12,B28/12,'Part III-Sources of Funds'!$I$41))</f>
        <v/>
      </c>
      <c r="C42" s="2438" t="str">
        <f>IF('Part III-Sources of Funds'!$I$41="","",-FV('Part III-Sources of Funds'!$K$41/12,12,C28/12,B42))</f>
        <v/>
      </c>
      <c r="D42" s="2438" t="str">
        <f>IF('Part III-Sources of Funds'!$I$41="","",-FV('Part III-Sources of Funds'!$K$41/12,12,D28/12,C42))</f>
        <v/>
      </c>
      <c r="E42" s="2438" t="str">
        <f>IF('Part III-Sources of Funds'!$I$41="","",-FV('Part III-Sources of Funds'!$K$41/12,12,E28/12,D42))</f>
        <v/>
      </c>
      <c r="F42" s="2438" t="str">
        <f>IF('Part III-Sources of Funds'!$I$41="","",-FV('Part III-Sources of Funds'!$K$41/12,12,F28/12,E42))</f>
        <v/>
      </c>
      <c r="G42" s="2438" t="str">
        <f>IF('Part III-Sources of Funds'!$I$41="","",-FV('Part III-Sources of Funds'!$K$41/12,12,G28/12,F42))</f>
        <v/>
      </c>
      <c r="H42" s="2438" t="str">
        <f>IF('Part III-Sources of Funds'!$I$41="","",-FV('Part III-Sources of Funds'!$K$41/12,12,H28/12,G42))</f>
        <v/>
      </c>
      <c r="I42" s="2438" t="str">
        <f>IF('Part III-Sources of Funds'!$I$41="","",-FV('Part III-Sources of Funds'!$K$41/12,12,I28/12,H42))</f>
        <v/>
      </c>
      <c r="J42" s="2438" t="str">
        <f>IF('Part III-Sources of Funds'!$I$41="","",-FV('Part III-Sources of Funds'!$K$41/12,12,J28/12,I42))</f>
        <v/>
      </c>
      <c r="K42" s="2438" t="str">
        <f>IF('Part III-Sources of Funds'!$I$41="","",-FV('Part III-Sources of Funds'!$K$41/12,12,K28/12,J42))</f>
        <v/>
      </c>
      <c r="N42" s="3160"/>
      <c r="O42" s="3162"/>
    </row>
    <row r="43" spans="1:19" ht="13.35" customHeight="1">
      <c r="A43" s="420" t="s">
        <v>3902</v>
      </c>
      <c r="B43" s="2441" t="str">
        <f>IF('Part III-Sources of Funds'!$I$43="","",-FV('Part III-Sources of Funds'!$K$43/12,12,B31/12,'Part III-Sources of Funds'!$I$43))</f>
        <v/>
      </c>
      <c r="C43" s="2441" t="str">
        <f>IF('Part III-Sources of Funds'!$I$43="","",IF(-FV('Part III-Sources of Funds'!$K$43/12,12,C31/12,B43)&gt;0,-FV('Part III-Sources of Funds'!$K$43/12,12,C31/12,B43),0))</f>
        <v/>
      </c>
      <c r="D43" s="2441" t="str">
        <f>IF('Part III-Sources of Funds'!$I$43="","",IF(-FV('Part III-Sources of Funds'!$K$43/12,12,D31/12,C43)&gt;0,-FV('Part III-Sources of Funds'!$K$43/12,12,D31/12,C43),0))</f>
        <v/>
      </c>
      <c r="E43" s="2441" t="str">
        <f>IF('Part III-Sources of Funds'!$I$43="","",IF(-FV('Part III-Sources of Funds'!$K$43/12,12,E31/12,D43)&gt;0,-FV('Part III-Sources of Funds'!$K$43/12,12,E31/12,D43),0))</f>
        <v/>
      </c>
      <c r="F43" s="2441" t="str">
        <f>IF('Part III-Sources of Funds'!$I$43="","",IF(-FV('Part III-Sources of Funds'!$K$43/12,12,F31/12,E43)&gt;0,-FV('Part III-Sources of Funds'!$K$43/12,12,F31/12,E43),0))</f>
        <v/>
      </c>
      <c r="G43" s="2441" t="str">
        <f>IF('Part III-Sources of Funds'!$I$43="","",IF(-FV('Part III-Sources of Funds'!$K$43/12,12,G31/12,F43)&gt;0,-FV('Part III-Sources of Funds'!$K$43/12,12,G31/12,F43),0))</f>
        <v/>
      </c>
      <c r="H43" s="2441" t="str">
        <f>IF('Part III-Sources of Funds'!$I$43="","",IF(-FV('Part III-Sources of Funds'!$K$43/12,12,H31/12,G43)&gt;0,-FV('Part III-Sources of Funds'!$K$43/12,12,H31/12,G43),0))</f>
        <v/>
      </c>
      <c r="I43" s="2441" t="str">
        <f>IF('Part III-Sources of Funds'!$I$43="","",IF(-FV('Part III-Sources of Funds'!$K$43/12,12,I31/12,H43)&gt;0,-FV('Part III-Sources of Funds'!$K$43/12,12,I31/12,H43),0))</f>
        <v/>
      </c>
      <c r="J43" s="2441" t="str">
        <f>IF('Part III-Sources of Funds'!$I$43="","",IF(-FV('Part III-Sources of Funds'!$K$43/12,12,J31/12,I43)&gt;0,-FV('Part III-Sources of Funds'!$K$43/12,12,J31/12,I43),0))</f>
        <v/>
      </c>
      <c r="K43" s="2441" t="str">
        <f>IF('Part III-Sources of Funds'!$I$43="","",IF(-FV('Part III-Sources of Funds'!$K$43/12,12,K31/12,J43)&gt;0,-FV('Part III-Sources of Funds'!$K$43/12,12,K31/12,J43),0))</f>
        <v/>
      </c>
      <c r="N43" s="3164"/>
      <c r="O43" s="3166"/>
    </row>
    <row r="44" spans="1:19" ht="4.3499999999999996" customHeight="1">
      <c r="B44" s="16"/>
      <c r="C44" s="16"/>
      <c r="D44" s="16"/>
      <c r="E44" s="16"/>
      <c r="F44" s="16"/>
      <c r="G44" s="16"/>
      <c r="H44" s="16"/>
      <c r="I44" s="16"/>
      <c r="J44" s="16"/>
      <c r="K44" s="16"/>
    </row>
    <row r="45" spans="1:19" ht="14.4" customHeight="1">
      <c r="A45" s="12" t="s">
        <v>2448</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2880" t="s">
        <v>2588</v>
      </c>
      <c r="O45" s="2880"/>
    </row>
    <row r="46" spans="1:19" ht="13.35" customHeight="1">
      <c r="A46" s="17" t="s">
        <v>2373</v>
      </c>
      <c r="B46" s="18">
        <f t="shared" ref="B46:K46" si="17">$B$14*(1+$B$5)^(B45-1)</f>
        <v>936802.08774365077</v>
      </c>
      <c r="C46" s="18">
        <f t="shared" si="17"/>
        <v>955538.12949852366</v>
      </c>
      <c r="D46" s="18">
        <f t="shared" si="17"/>
        <v>974648.89208849426</v>
      </c>
      <c r="E46" s="18">
        <f t="shared" si="17"/>
        <v>994141.86993026407</v>
      </c>
      <c r="F46" s="18">
        <f t="shared" si="17"/>
        <v>1014024.7073288695</v>
      </c>
      <c r="G46" s="18">
        <f t="shared" si="17"/>
        <v>1034305.2014754466</v>
      </c>
      <c r="H46" s="18">
        <f t="shared" si="17"/>
        <v>1054991.3055049558</v>
      </c>
      <c r="I46" s="18">
        <f t="shared" si="17"/>
        <v>1076091.131615055</v>
      </c>
      <c r="J46" s="18">
        <f t="shared" si="17"/>
        <v>1097612.9542473559</v>
      </c>
      <c r="K46" s="19">
        <f t="shared" si="17"/>
        <v>1119565.2133323029</v>
      </c>
      <c r="N46" s="3155"/>
      <c r="O46" s="3157"/>
    </row>
    <row r="47" spans="1:19" ht="13.35" customHeight="1">
      <c r="A47" s="20" t="s">
        <v>1003</v>
      </c>
      <c r="B47" s="21">
        <f t="shared" ref="B47:K47" si="18">$B$15*(1+$B$5)^(B45-1)</f>
        <v>18736.041754873015</v>
      </c>
      <c r="C47" s="21">
        <f t="shared" si="18"/>
        <v>19110.762589970473</v>
      </c>
      <c r="D47" s="21">
        <f t="shared" si="18"/>
        <v>19492.977841769887</v>
      </c>
      <c r="E47" s="21">
        <f t="shared" si="18"/>
        <v>19882.837398605283</v>
      </c>
      <c r="F47" s="21">
        <f t="shared" si="18"/>
        <v>20280.494146577388</v>
      </c>
      <c r="G47" s="21">
        <f t="shared" si="18"/>
        <v>20686.104029508933</v>
      </c>
      <c r="H47" s="21">
        <f t="shared" si="18"/>
        <v>21099.826110099115</v>
      </c>
      <c r="I47" s="21">
        <f t="shared" si="18"/>
        <v>21521.822632301097</v>
      </c>
      <c r="J47" s="21">
        <f t="shared" si="18"/>
        <v>21952.259084947116</v>
      </c>
      <c r="K47" s="22">
        <f t="shared" si="18"/>
        <v>22391.304266646061</v>
      </c>
      <c r="N47" s="3160"/>
      <c r="O47" s="3162"/>
    </row>
    <row r="48" spans="1:19" ht="13.35" customHeight="1">
      <c r="A48" s="20" t="s">
        <v>2374</v>
      </c>
      <c r="B48" s="21">
        <f t="shared" ref="B48:K48" si="19">-(B46+B47)*$B$8</f>
        <v>-66887.669064896676</v>
      </c>
      <c r="C48" s="21">
        <f t="shared" si="19"/>
        <v>-68225.4224461946</v>
      </c>
      <c r="D48" s="21">
        <f t="shared" si="19"/>
        <v>-69589.930895118494</v>
      </c>
      <c r="E48" s="21">
        <f t="shared" si="19"/>
        <v>-70981.729513020866</v>
      </c>
      <c r="F48" s="21">
        <f t="shared" si="19"/>
        <v>-72401.364103281288</v>
      </c>
      <c r="G48" s="21">
        <f t="shared" si="19"/>
        <v>-73849.391385346898</v>
      </c>
      <c r="H48" s="21">
        <f t="shared" si="19"/>
        <v>-75326.379213053864</v>
      </c>
      <c r="I48" s="21">
        <f t="shared" si="19"/>
        <v>-76832.906797314936</v>
      </c>
      <c r="J48" s="21">
        <f t="shared" si="19"/>
        <v>-78369.564933261223</v>
      </c>
      <c r="K48" s="22">
        <f t="shared" si="19"/>
        <v>-79936.956231926437</v>
      </c>
      <c r="N48" s="3160"/>
      <c r="O48" s="3162"/>
    </row>
    <row r="49" spans="1:19" ht="13.35" customHeight="1">
      <c r="A49" s="20" t="s">
        <v>50</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160"/>
      <c r="O49" s="3162"/>
    </row>
    <row r="50" spans="1:19" ht="13.35" customHeight="1">
      <c r="A50" s="20" t="s">
        <v>51</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160"/>
      <c r="O50" s="3162"/>
    </row>
    <row r="51" spans="1:19" ht="13.35" customHeight="1">
      <c r="A51" s="420" t="s">
        <v>4607</v>
      </c>
      <c r="B51" s="21">
        <f t="shared" ref="B51:K51" si="20">SUM(B46:B50)</f>
        <v>888650.46043362713</v>
      </c>
      <c r="C51" s="21">
        <f t="shared" si="20"/>
        <v>906423.46964229958</v>
      </c>
      <c r="D51" s="21">
        <f t="shared" si="20"/>
        <v>924551.93903514568</v>
      </c>
      <c r="E51" s="21">
        <f t="shared" si="20"/>
        <v>943042.97781584854</v>
      </c>
      <c r="F51" s="21">
        <f t="shared" si="20"/>
        <v>961903.83737216564</v>
      </c>
      <c r="G51" s="21">
        <f t="shared" si="20"/>
        <v>981141.9141196087</v>
      </c>
      <c r="H51" s="21">
        <f t="shared" si="20"/>
        <v>1000764.7524020012</v>
      </c>
      <c r="I51" s="21">
        <f t="shared" si="20"/>
        <v>1020780.0474500412</v>
      </c>
      <c r="J51" s="21">
        <f t="shared" si="20"/>
        <v>1041195.6483990418</v>
      </c>
      <c r="K51" s="22">
        <f t="shared" si="20"/>
        <v>1062019.5613670226</v>
      </c>
      <c r="N51" s="3160"/>
      <c r="O51" s="3162"/>
    </row>
    <row r="52" spans="1:19" ht="13.35" customHeight="1">
      <c r="A52" s="20" t="s">
        <v>604</v>
      </c>
      <c r="B52" s="21">
        <f t="shared" ref="B52:K52" si="21">$B$20*(1+$B$6)^(B45-1)</f>
        <v>-564073.95840383216</v>
      </c>
      <c r="C52" s="21">
        <f t="shared" si="21"/>
        <v>-580996.1771559472</v>
      </c>
      <c r="D52" s="21">
        <f t="shared" si="21"/>
        <v>-598426.0624706255</v>
      </c>
      <c r="E52" s="21">
        <f t="shared" si="21"/>
        <v>-616378.84434474423</v>
      </c>
      <c r="F52" s="21">
        <f t="shared" si="21"/>
        <v>-634870.20967508666</v>
      </c>
      <c r="G52" s="21">
        <f t="shared" si="21"/>
        <v>-653916.31596533931</v>
      </c>
      <c r="H52" s="21">
        <f t="shared" si="21"/>
        <v>-673533.80544429936</v>
      </c>
      <c r="I52" s="21">
        <f t="shared" si="21"/>
        <v>-693739.81960762828</v>
      </c>
      <c r="J52" s="21">
        <f t="shared" si="21"/>
        <v>-714552.0141958571</v>
      </c>
      <c r="K52" s="22">
        <f t="shared" si="21"/>
        <v>-735988.57462173281</v>
      </c>
      <c r="N52" s="3160"/>
      <c r="O52" s="3162"/>
    </row>
    <row r="53" spans="1:19" ht="13.35" customHeight="1">
      <c r="A53" s="20" t="s">
        <v>1102</v>
      </c>
      <c r="B53" s="21">
        <f>IF(AND('Part VII-Pro Forma'!$G$8="Yes",'Part VII-Pro Forma'!$G$9="Yes"),"Choose One!",IF('Part VII-Pro Forma'!$G$8="Yes",ROUND((-$K$8*(1+'Part VII-Pro Forma'!$B$6)^('Part VII-Pro Forma'!B45-1)),),IF('Part VII-Pro Forma'!$G$9="Yes",ROUND((-(SUM(B46:B49)*'Part VII-Pro Forma'!$K$9)),),"Choose mgt fee")))</f>
        <v>-44433</v>
      </c>
      <c r="C53" s="21">
        <f>IF(AND('Part VII-Pro Forma'!$G$8="Yes",'Part VII-Pro Forma'!$G$9="Yes"),"Choose One!",IF('Part VII-Pro Forma'!$G$8="Yes",ROUND((-$K$8*(1+'Part VII-Pro Forma'!$B$6)^('Part VII-Pro Forma'!C45-1)),),IF('Part VII-Pro Forma'!$G$9="Yes",ROUND((-(SUM(C46:C49)*'Part VII-Pro Forma'!$K$9)),),"Choose mgt fee")))</f>
        <v>-45321</v>
      </c>
      <c r="D53" s="21">
        <f>IF(AND('Part VII-Pro Forma'!$G$8="Yes",'Part VII-Pro Forma'!$G$9="Yes"),"Choose One!",IF('Part VII-Pro Forma'!$G$8="Yes",ROUND((-$K$8*(1+'Part VII-Pro Forma'!$B$6)^('Part VII-Pro Forma'!D45-1)),),IF('Part VII-Pro Forma'!$G$9="Yes",ROUND((-(SUM(D46:D49)*'Part VII-Pro Forma'!$K$9)),),"Choose mgt fee")))</f>
        <v>-46228</v>
      </c>
      <c r="E53" s="21">
        <f>IF(AND('Part VII-Pro Forma'!$G$8="Yes",'Part VII-Pro Forma'!$G$9="Yes"),"Choose One!",IF('Part VII-Pro Forma'!$G$8="Yes",ROUND((-$K$8*(1+'Part VII-Pro Forma'!$B$6)^('Part VII-Pro Forma'!E45-1)),),IF('Part VII-Pro Forma'!$G$9="Yes",ROUND((-(SUM(E46:E49)*'Part VII-Pro Forma'!$K$9)),),"Choose mgt fee")))</f>
        <v>-47152</v>
      </c>
      <c r="F53" s="21">
        <f>IF(AND('Part VII-Pro Forma'!$G$8="Yes",'Part VII-Pro Forma'!$G$9="Yes"),"Choose One!",IF('Part VII-Pro Forma'!$G$8="Yes",ROUND((-$K$8*(1+'Part VII-Pro Forma'!$B$6)^('Part VII-Pro Forma'!F45-1)),),IF('Part VII-Pro Forma'!$G$9="Yes",ROUND((-(SUM(F46:F49)*'Part VII-Pro Forma'!$K$9)),),"Choose mgt fee")))</f>
        <v>-48095</v>
      </c>
      <c r="G53" s="21">
        <f>IF(AND('Part VII-Pro Forma'!$G$8="Yes",'Part VII-Pro Forma'!$G$9="Yes"),"Choose One!",IF('Part VII-Pro Forma'!$G$8="Yes",ROUND((-$K$8*(1+'Part VII-Pro Forma'!$B$6)^('Part VII-Pro Forma'!G45-1)),),IF('Part VII-Pro Forma'!$G$9="Yes",ROUND((-(SUM(G46:G49)*'Part VII-Pro Forma'!$K$9)),),"Choose mgt fee")))</f>
        <v>-49057</v>
      </c>
      <c r="H53" s="21">
        <f>IF(AND('Part VII-Pro Forma'!$G$8="Yes",'Part VII-Pro Forma'!$G$9="Yes"),"Choose One!",IF('Part VII-Pro Forma'!$G$8="Yes",ROUND((-$K$8*(1+'Part VII-Pro Forma'!$B$6)^('Part VII-Pro Forma'!H45-1)),),IF('Part VII-Pro Forma'!$G$9="Yes",ROUND((-(SUM(H46:H49)*'Part VII-Pro Forma'!$K$9)),),"Choose mgt fee")))</f>
        <v>-50038</v>
      </c>
      <c r="I53" s="21">
        <f>IF(AND('Part VII-Pro Forma'!$G$8="Yes",'Part VII-Pro Forma'!$G$9="Yes"),"Choose One!",IF('Part VII-Pro Forma'!$G$8="Yes",ROUND((-$K$8*(1+'Part VII-Pro Forma'!$B$6)^('Part VII-Pro Forma'!I45-1)),),IF('Part VII-Pro Forma'!$G$9="Yes",ROUND((-(SUM(I46:I49)*'Part VII-Pro Forma'!$K$9)),),"Choose mgt fee")))</f>
        <v>-51039</v>
      </c>
      <c r="J53" s="21">
        <f>IF(AND('Part VII-Pro Forma'!$G$8="Yes",'Part VII-Pro Forma'!$G$9="Yes"),"Choose One!",IF('Part VII-Pro Forma'!$G$8="Yes",ROUND((-$K$8*(1+'Part VII-Pro Forma'!$B$6)^('Part VII-Pro Forma'!J45-1)),),IF('Part VII-Pro Forma'!$G$9="Yes",ROUND((-(SUM(J46:J49)*'Part VII-Pro Forma'!$K$9)),),"Choose mgt fee")))</f>
        <v>-52060</v>
      </c>
      <c r="K53" s="22">
        <f>IF(AND('Part VII-Pro Forma'!$G$8="Yes",'Part VII-Pro Forma'!$G$9="Yes"),"Choose One!",IF('Part VII-Pro Forma'!$G$8="Yes",ROUND((-$K$8*(1+'Part VII-Pro Forma'!$B$6)^('Part VII-Pro Forma'!K45-1)),),IF('Part VII-Pro Forma'!$G$9="Yes",ROUND((-(SUM(K46:K49)*'Part VII-Pro Forma'!$K$9)),),"Choose mgt fee")))</f>
        <v>-53101</v>
      </c>
      <c r="N53" s="3160"/>
      <c r="O53" s="3162"/>
    </row>
    <row r="54" spans="1:19" ht="13.35" customHeight="1">
      <c r="A54" s="20" t="s">
        <v>1187</v>
      </c>
      <c r="B54" s="21">
        <f t="shared" ref="B54:K54" si="22">$B$22*(1+$B$7)^(B45-1)</f>
        <v>-28222.243966226557</v>
      </c>
      <c r="C54" s="21">
        <f t="shared" si="22"/>
        <v>-29068.911285213355</v>
      </c>
      <c r="D54" s="21">
        <f t="shared" si="22"/>
        <v>-29940.978623769752</v>
      </c>
      <c r="E54" s="21">
        <f t="shared" si="22"/>
        <v>-30839.207982482843</v>
      </c>
      <c r="F54" s="21">
        <f t="shared" si="22"/>
        <v>-31764.384221957331</v>
      </c>
      <c r="G54" s="21">
        <f t="shared" si="22"/>
        <v>-32717.315748616053</v>
      </c>
      <c r="H54" s="21">
        <f t="shared" si="22"/>
        <v>-33698.835221074529</v>
      </c>
      <c r="I54" s="21">
        <f t="shared" si="22"/>
        <v>-34709.800277706767</v>
      </c>
      <c r="J54" s="21">
        <f t="shared" si="22"/>
        <v>-35751.094286037966</v>
      </c>
      <c r="K54" s="22">
        <f t="shared" si="22"/>
        <v>-36823.627114619107</v>
      </c>
      <c r="N54" s="3160"/>
      <c r="O54" s="3162"/>
    </row>
    <row r="55" spans="1:19" ht="13.35" customHeight="1">
      <c r="A55" s="420" t="s">
        <v>4606</v>
      </c>
      <c r="B55" s="2436">
        <f>IF(B45&lt;=+'Part VI-Revenues &amp; Expenses'!$K$243,-'Part VI-Revenues &amp; Expenses'!$H$243,0)</f>
        <v>0</v>
      </c>
      <c r="C55" s="2436">
        <f>IF(C45&lt;=+'Part VI-Revenues &amp; Expenses'!$K$243,-'Part VI-Revenues &amp; Expenses'!$H$243,0)</f>
        <v>0</v>
      </c>
      <c r="D55" s="2436">
        <f>IF(D45&lt;=+'Part VI-Revenues &amp; Expenses'!$K$243,-'Part VI-Revenues &amp; Expenses'!$H$243,0)</f>
        <v>0</v>
      </c>
      <c r="E55" s="2436">
        <f>IF(E45&lt;=+'Part VI-Revenues &amp; Expenses'!$K$243,-'Part VI-Revenues &amp; Expenses'!$H$243,0)</f>
        <v>0</v>
      </c>
      <c r="F55" s="2436">
        <f>IF(F45&lt;=+'Part VI-Revenues &amp; Expenses'!$K$243,-'Part VI-Revenues &amp; Expenses'!$H$243,0)</f>
        <v>0</v>
      </c>
      <c r="G55" s="2436">
        <f>IF(G45&lt;=+'Part VI-Revenues &amp; Expenses'!$K$243,-'Part VI-Revenues &amp; Expenses'!$H$243,0)</f>
        <v>0</v>
      </c>
      <c r="H55" s="2436">
        <f>IF(H45&lt;=+'Part VI-Revenues &amp; Expenses'!$K$243,-'Part VI-Revenues &amp; Expenses'!$H$243,0)</f>
        <v>0</v>
      </c>
      <c r="I55" s="2436">
        <f>IF(I45&lt;=+'Part VI-Revenues &amp; Expenses'!$K$243,-'Part VI-Revenues &amp; Expenses'!$H$243,0)</f>
        <v>0</v>
      </c>
      <c r="J55" s="2436">
        <f>IF(J45&lt;=+'Part VI-Revenues &amp; Expenses'!$K$243,-'Part VI-Revenues &amp; Expenses'!$H$243,0)</f>
        <v>0</v>
      </c>
      <c r="K55" s="2436">
        <f>IF(K45&lt;=+'Part VI-Revenues &amp; Expenses'!$K$243,-'Part VI-Revenues &amp; Expenses'!$H$243,0)</f>
        <v>0</v>
      </c>
      <c r="N55" s="3160"/>
      <c r="O55" s="3162"/>
      <c r="Q55" s="971">
        <v>10</v>
      </c>
      <c r="R55" s="1091">
        <f>-SUM(B60:K60)</f>
        <v>0</v>
      </c>
      <c r="S55" s="1091">
        <f>SUM(B61:K61)+R55</f>
        <v>0</v>
      </c>
    </row>
    <row r="56" spans="1:19" ht="13.35" customHeight="1">
      <c r="A56" s="20" t="s">
        <v>1188</v>
      </c>
      <c r="B56" s="21">
        <f>SUM(B51:B55)</f>
        <v>251921.25806356841</v>
      </c>
      <c r="C56" s="21">
        <f t="shared" ref="C56" si="23">SUM(C51:C55)</f>
        <v>251037.38120113901</v>
      </c>
      <c r="D56" s="21">
        <f t="shared" ref="D56" si="24">SUM(D51:D55)</f>
        <v>249956.89794075044</v>
      </c>
      <c r="E56" s="21">
        <f t="shared" ref="E56" si="25">SUM(E51:E55)</f>
        <v>248672.92548862146</v>
      </c>
      <c r="F56" s="21">
        <f t="shared" ref="F56" si="26">SUM(F51:F55)</f>
        <v>247174.24347512165</v>
      </c>
      <c r="G56" s="21">
        <f t="shared" ref="G56" si="27">SUM(G51:G55)</f>
        <v>245451.28240565333</v>
      </c>
      <c r="H56" s="21">
        <f t="shared" ref="H56" si="28">SUM(H51:H55)</f>
        <v>243494.1117366273</v>
      </c>
      <c r="I56" s="21">
        <f t="shared" ref="I56" si="29">SUM(I51:I55)</f>
        <v>241291.42756470613</v>
      </c>
      <c r="J56" s="21">
        <f t="shared" ref="J56" si="30">SUM(J51:J55)</f>
        <v>238832.53991714679</v>
      </c>
      <c r="K56" s="1611">
        <f>SUM(K51:K55)</f>
        <v>236106.35963067066</v>
      </c>
      <c r="N56" s="3160"/>
      <c r="O56" s="3162"/>
    </row>
    <row r="57" spans="1:19" ht="13.35" customHeight="1">
      <c r="A57" s="20" t="str">
        <f>$A25</f>
        <v>Mortgage A</v>
      </c>
      <c r="B57" s="2437">
        <f>IF('Part III-Sources of Funds'!$P$38="", 0,-'Part III-Sources of Funds'!$P$38)</f>
        <v>-173996.44355885265</v>
      </c>
      <c r="C57" s="2437">
        <f>IF('Part III-Sources of Funds'!$P$38="", 0,-'Part III-Sources of Funds'!$P$38)</f>
        <v>-173996.44355885265</v>
      </c>
      <c r="D57" s="2437">
        <f>IF('Part III-Sources of Funds'!$P$38="", 0,-'Part III-Sources of Funds'!$P$38)</f>
        <v>-173996.44355885265</v>
      </c>
      <c r="E57" s="2437">
        <f>IF('Part III-Sources of Funds'!$P$38="", 0,-'Part III-Sources of Funds'!$P$38)</f>
        <v>-173996.44355885265</v>
      </c>
      <c r="F57" s="2437">
        <f>IF('Part III-Sources of Funds'!$P$38="", 0,-'Part III-Sources of Funds'!$P$38)</f>
        <v>-173996.44355885265</v>
      </c>
      <c r="G57" s="2437">
        <f>IF('Part III-Sources of Funds'!$P$38="", 0,-'Part III-Sources of Funds'!$P$38)</f>
        <v>-173996.44355885265</v>
      </c>
      <c r="H57" s="2437">
        <f>IF('Part III-Sources of Funds'!$P$38="", 0,-'Part III-Sources of Funds'!$P$38)</f>
        <v>-173996.44355885265</v>
      </c>
      <c r="I57" s="2437">
        <f>IF('Part III-Sources of Funds'!$P$38="", 0,-'Part III-Sources of Funds'!$P$38)</f>
        <v>-173996.44355885265</v>
      </c>
      <c r="J57" s="2437">
        <f>IF('Part III-Sources of Funds'!$P$38="", 0,-'Part III-Sources of Funds'!$P$38)</f>
        <v>-173996.44355885265</v>
      </c>
      <c r="K57" s="2437">
        <f>IF('Part III-Sources of Funds'!$P$38="", 0,-'Part III-Sources of Funds'!$P$38)</f>
        <v>-173996.44355885265</v>
      </c>
      <c r="N57" s="3160"/>
      <c r="O57" s="3162"/>
    </row>
    <row r="58" spans="1:19" ht="13.35" customHeight="1">
      <c r="A58" s="20" t="str">
        <f>$A26</f>
        <v>Mortgage B</v>
      </c>
      <c r="B58" s="2438">
        <v>-36547</v>
      </c>
      <c r="C58" s="2438">
        <v>-36547</v>
      </c>
      <c r="D58" s="2438">
        <v>-36547</v>
      </c>
      <c r="E58" s="2438">
        <v>-36547</v>
      </c>
      <c r="F58" s="2438">
        <v>-36547</v>
      </c>
      <c r="G58" s="2438">
        <v>-36547</v>
      </c>
      <c r="H58" s="2438">
        <v>-36547</v>
      </c>
      <c r="I58" s="2438">
        <v>-36547</v>
      </c>
      <c r="J58" s="2438">
        <v>-36547</v>
      </c>
      <c r="K58" s="2438">
        <v>-36547</v>
      </c>
      <c r="N58" s="3160"/>
      <c r="O58" s="3162"/>
    </row>
    <row r="59" spans="1:19" ht="13.35" customHeight="1">
      <c r="A59" s="20" t="str">
        <f>$A27</f>
        <v>Mortgage C</v>
      </c>
      <c r="B59" s="2438">
        <f>IF('Part III-Sources of Funds'!$P$40="", 0,-'Part III-Sources of Funds'!$P$40)</f>
        <v>0</v>
      </c>
      <c r="C59" s="2438">
        <f>IF('Part III-Sources of Funds'!$P$40="", 0,-'Part III-Sources of Funds'!$P$40)</f>
        <v>0</v>
      </c>
      <c r="D59" s="2438">
        <f>IF('Part III-Sources of Funds'!$P$40="", 0,-'Part III-Sources of Funds'!$P$40)</f>
        <v>0</v>
      </c>
      <c r="E59" s="2438">
        <f>IF('Part III-Sources of Funds'!$P$40="", 0,-'Part III-Sources of Funds'!$P$40)</f>
        <v>0</v>
      </c>
      <c r="F59" s="2438">
        <f>IF('Part III-Sources of Funds'!$P$40="", 0,-'Part III-Sources of Funds'!$P$40)</f>
        <v>0</v>
      </c>
      <c r="G59" s="2438">
        <f>IF('Part III-Sources of Funds'!$P$40="", 0,-'Part III-Sources of Funds'!$P$40)</f>
        <v>0</v>
      </c>
      <c r="H59" s="2438">
        <f>IF('Part III-Sources of Funds'!$P$40="", 0,-'Part III-Sources of Funds'!$P$40)</f>
        <v>0</v>
      </c>
      <c r="I59" s="2438">
        <f>IF('Part III-Sources of Funds'!$P$40="", 0,-'Part III-Sources of Funds'!$P$40)</f>
        <v>0</v>
      </c>
      <c r="J59" s="2438">
        <f>IF('Part III-Sources of Funds'!$P$40="", 0,-'Part III-Sources of Funds'!$P$40)</f>
        <v>0</v>
      </c>
      <c r="K59" s="2438">
        <f>IF('Part III-Sources of Funds'!$P$40="", 0,-'Part III-Sources of Funds'!$P$40)</f>
        <v>0</v>
      </c>
      <c r="N59" s="3160"/>
      <c r="O59" s="3162"/>
    </row>
    <row r="60" spans="1:19" ht="13.35" customHeight="1">
      <c r="A60" s="20" t="str">
        <f>$A28</f>
        <v>D/S Other Source,not DDF</v>
      </c>
      <c r="B60" s="2438">
        <f>IF('Part III-Sources of Funds'!$P$41="", 0,-'Part III-Sources of Funds'!$P$41)</f>
        <v>0</v>
      </c>
      <c r="C60" s="2438">
        <f>IF('Part III-Sources of Funds'!$P$41="", 0,-'Part III-Sources of Funds'!$P$41)</f>
        <v>0</v>
      </c>
      <c r="D60" s="2438">
        <f>IF('Part III-Sources of Funds'!$P$41="", 0,-'Part III-Sources of Funds'!$P$41)</f>
        <v>0</v>
      </c>
      <c r="E60" s="2438">
        <f>IF('Part III-Sources of Funds'!$P$41="", 0,-'Part III-Sources of Funds'!$P$41)</f>
        <v>0</v>
      </c>
      <c r="F60" s="2438">
        <f>IF('Part III-Sources of Funds'!$P$41="", 0,-'Part III-Sources of Funds'!$P$41)</f>
        <v>0</v>
      </c>
      <c r="G60" s="2438">
        <f>IF('Part III-Sources of Funds'!$P$41="", 0,-'Part III-Sources of Funds'!$P$41)</f>
        <v>0</v>
      </c>
      <c r="H60" s="2438">
        <f>IF('Part III-Sources of Funds'!$P$41="", 0,-'Part III-Sources of Funds'!$P$41)</f>
        <v>0</v>
      </c>
      <c r="I60" s="2438">
        <f>IF('Part III-Sources of Funds'!$P$41="", 0,-'Part III-Sources of Funds'!$P$41)</f>
        <v>0</v>
      </c>
      <c r="J60" s="2438">
        <f>IF('Part III-Sources of Funds'!$P$41="", 0,-'Part III-Sources of Funds'!$P$41)</f>
        <v>0</v>
      </c>
      <c r="K60" s="2438">
        <f>IF('Part III-Sources of Funds'!$P$41="", 0,-'Part III-Sources of Funds'!$P$41)</f>
        <v>0</v>
      </c>
      <c r="N60" s="3160"/>
      <c r="O60" s="3162"/>
    </row>
    <row r="61" spans="1:19" ht="13.35" customHeight="1">
      <c r="A61" s="20" t="s">
        <v>752</v>
      </c>
      <c r="B61" s="2439"/>
      <c r="C61" s="2439"/>
      <c r="D61" s="2439"/>
      <c r="E61" s="2439"/>
      <c r="F61" s="2439"/>
      <c r="G61" s="2439"/>
      <c r="H61" s="2439"/>
      <c r="I61" s="2439"/>
      <c r="J61" s="2439"/>
      <c r="K61" s="2439"/>
      <c r="N61" s="3160"/>
      <c r="O61" s="3162"/>
    </row>
    <row r="62" spans="1:19" ht="13.35" customHeight="1">
      <c r="A62" s="420" t="s">
        <v>1150</v>
      </c>
      <c r="B62" s="2438">
        <f>+K30</f>
        <v>-10000</v>
      </c>
      <c r="C62" s="2438">
        <f t="shared" ref="C62:K62" si="31">+B62</f>
        <v>-10000</v>
      </c>
      <c r="D62" s="2438">
        <f t="shared" si="31"/>
        <v>-10000</v>
      </c>
      <c r="E62" s="2438">
        <f t="shared" si="31"/>
        <v>-10000</v>
      </c>
      <c r="F62" s="2438">
        <f t="shared" si="31"/>
        <v>-10000</v>
      </c>
      <c r="G62" s="2438">
        <f t="shared" si="31"/>
        <v>-10000</v>
      </c>
      <c r="H62" s="2438">
        <f t="shared" si="31"/>
        <v>-10000</v>
      </c>
      <c r="I62" s="2438">
        <f t="shared" si="31"/>
        <v>-10000</v>
      </c>
      <c r="J62" s="2438">
        <f t="shared" si="31"/>
        <v>-10000</v>
      </c>
      <c r="K62" s="2438">
        <f t="shared" si="31"/>
        <v>-10000</v>
      </c>
      <c r="N62" s="3160"/>
      <c r="O62" s="3162"/>
      <c r="Q62" s="971"/>
      <c r="R62" s="1091"/>
    </row>
    <row r="63" spans="1:19" ht="13.35" customHeight="1">
      <c r="A63" s="420" t="s">
        <v>3901</v>
      </c>
      <c r="B63" s="2441">
        <f>IF('Part III-Sources of Funds'!$P$43="", 0,-'Part III-Sources of Funds'!$P$43)</f>
        <v>0</v>
      </c>
      <c r="C63" s="2441">
        <f>IF('Part III-Sources of Funds'!$P$43="", 0,-'Part III-Sources of Funds'!$P$43)</f>
        <v>0</v>
      </c>
      <c r="D63" s="2441">
        <f>IF('Part III-Sources of Funds'!$P$43="", 0,-'Part III-Sources of Funds'!$P$43)</f>
        <v>0</v>
      </c>
      <c r="E63" s="2441">
        <f>IF('Part III-Sources of Funds'!$P$43="", 0,-'Part III-Sources of Funds'!$P$43)</f>
        <v>0</v>
      </c>
      <c r="F63" s="2441">
        <f>IF('Part III-Sources of Funds'!$P$43="", 0,-'Part III-Sources of Funds'!$P$43)</f>
        <v>0</v>
      </c>
      <c r="G63" s="2441"/>
      <c r="H63" s="2441"/>
      <c r="I63" s="2441"/>
      <c r="J63" s="2441"/>
      <c r="K63" s="2441"/>
      <c r="N63" s="3160"/>
      <c r="O63" s="3162"/>
    </row>
    <row r="64" spans="1:19" ht="13.35" customHeight="1">
      <c r="A64" s="20" t="s">
        <v>1151</v>
      </c>
      <c r="B64" s="21">
        <f t="shared" ref="B64:K64" si="32">SUM(B56:B63)</f>
        <v>31377.81450471576</v>
      </c>
      <c r="C64" s="21">
        <f t="shared" si="32"/>
        <v>30493.937642286357</v>
      </c>
      <c r="D64" s="21">
        <f t="shared" si="32"/>
        <v>29413.454381897784</v>
      </c>
      <c r="E64" s="21">
        <f t="shared" si="32"/>
        <v>28129.481929768808</v>
      </c>
      <c r="F64" s="21">
        <f t="shared" si="32"/>
        <v>26630.799916268996</v>
      </c>
      <c r="G64" s="21">
        <f t="shared" si="32"/>
        <v>24907.838846800674</v>
      </c>
      <c r="H64" s="21">
        <f t="shared" si="32"/>
        <v>22950.668177774642</v>
      </c>
      <c r="I64" s="21">
        <f t="shared" si="32"/>
        <v>20747.984005853476</v>
      </c>
      <c r="J64" s="21">
        <f t="shared" si="32"/>
        <v>18289.096358294133</v>
      </c>
      <c r="K64" s="625">
        <f t="shared" si="32"/>
        <v>15562.916071818006</v>
      </c>
      <c r="N64" s="3160"/>
      <c r="O64" s="3162"/>
    </row>
    <row r="65" spans="1:15" ht="13.35" customHeight="1">
      <c r="A65" s="20" t="str">
        <f>$A33</f>
        <v>DCR Mortgage A</v>
      </c>
      <c r="B65" s="23">
        <f t="shared" ref="B65:K65" si="33">IF(B57=0,"",-B56/B57)</f>
        <v>1.4478529153290334</v>
      </c>
      <c r="C65" s="23">
        <f t="shared" si="33"/>
        <v>1.4427730594173207</v>
      </c>
      <c r="D65" s="23">
        <f t="shared" si="33"/>
        <v>1.4365632585829542</v>
      </c>
      <c r="E65" s="23">
        <f t="shared" si="33"/>
        <v>1.4291839557313146</v>
      </c>
      <c r="F65" s="23">
        <f t="shared" si="33"/>
        <v>1.4205706646614147</v>
      </c>
      <c r="G65" s="23">
        <f t="shared" si="33"/>
        <v>1.4106683871537395</v>
      </c>
      <c r="H65" s="23">
        <f t="shared" si="33"/>
        <v>1.3994200499521572</v>
      </c>
      <c r="I65" s="23">
        <f t="shared" si="33"/>
        <v>1.3867606867670923</v>
      </c>
      <c r="J65" s="23">
        <f t="shared" si="33"/>
        <v>1.3726288597178364</v>
      </c>
      <c r="K65" s="24">
        <f t="shared" si="33"/>
        <v>1.3569608366783079</v>
      </c>
      <c r="N65" s="3160"/>
      <c r="O65" s="3162"/>
    </row>
    <row r="66" spans="1:15" ht="13.35" customHeight="1">
      <c r="A66" s="20" t="str">
        <f>$A34</f>
        <v>DCR Mortgage B</v>
      </c>
      <c r="B66" s="23">
        <f t="shared" ref="B66:K66" si="34">IF(B58=0,"",-(B56+B57)/B58)</f>
        <v>2.132180876808377</v>
      </c>
      <c r="C66" s="23">
        <f t="shared" si="34"/>
        <v>2.1079962142525064</v>
      </c>
      <c r="D66" s="23">
        <f t="shared" si="34"/>
        <v>2.0784320021314411</v>
      </c>
      <c r="E66" s="23">
        <f t="shared" si="34"/>
        <v>2.0432999132560488</v>
      </c>
      <c r="F66" s="23">
        <f t="shared" si="34"/>
        <v>2.0022929355697867</v>
      </c>
      <c r="G66" s="23">
        <f t="shared" si="34"/>
        <v>1.9551492283032992</v>
      </c>
      <c r="H66" s="23">
        <f t="shared" si="34"/>
        <v>1.9015970716549824</v>
      </c>
      <c r="I66" s="23">
        <f t="shared" si="34"/>
        <v>1.8413271679167504</v>
      </c>
      <c r="J66" s="23">
        <f t="shared" si="34"/>
        <v>1.7740470177660035</v>
      </c>
      <c r="K66" s="24">
        <f t="shared" si="34"/>
        <v>1.6994531992179387</v>
      </c>
      <c r="N66" s="3160"/>
      <c r="O66" s="3162"/>
    </row>
    <row r="67" spans="1:15" ht="13.3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160"/>
      <c r="O67" s="3162"/>
    </row>
    <row r="68" spans="1:15" ht="13.3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160"/>
      <c r="O68" s="3162"/>
    </row>
    <row r="69" spans="1:15" ht="13.35" customHeight="1">
      <c r="A69" s="420" t="s">
        <v>3611</v>
      </c>
      <c r="B69" s="23">
        <f t="shared" ref="B69:K69" si="37">IF(AND(B57=0,B58=0,B59=0,B60=0),"",-B56/(B57+B58+B59+B60))</f>
        <v>1.1965286299364128</v>
      </c>
      <c r="C69" s="23">
        <f t="shared" si="37"/>
        <v>1.1923305563821425</v>
      </c>
      <c r="D69" s="23">
        <f t="shared" si="37"/>
        <v>1.1871986784090032</v>
      </c>
      <c r="E69" s="23">
        <f t="shared" si="37"/>
        <v>1.1811003054061409</v>
      </c>
      <c r="F69" s="23">
        <f t="shared" si="37"/>
        <v>1.1739821449535173</v>
      </c>
      <c r="G69" s="23">
        <f t="shared" si="37"/>
        <v>1.1657987456495789</v>
      </c>
      <c r="H69" s="23">
        <f t="shared" si="37"/>
        <v>1.1565029412495764</v>
      </c>
      <c r="I69" s="23">
        <f t="shared" si="37"/>
        <v>1.1460410425806424</v>
      </c>
      <c r="J69" s="23">
        <f t="shared" si="37"/>
        <v>1.1343622764030006</v>
      </c>
      <c r="K69" s="24">
        <f t="shared" si="37"/>
        <v>1.1214139734760844</v>
      </c>
      <c r="N69" s="3160"/>
      <c r="O69" s="3162"/>
    </row>
    <row r="70" spans="1:15" ht="13.35" customHeight="1">
      <c r="A70" s="20" t="s">
        <v>759</v>
      </c>
      <c r="B70" s="266">
        <f t="shared" ref="B70:K70" si="38">IF(OR(B53="Choose mgt fee",B53="Choose One!"),"",(B46+B47+B48+B49+B50) / -(B52+B53+B54))</f>
        <v>1.3956489778164047</v>
      </c>
      <c r="C70" s="266">
        <f t="shared" si="38"/>
        <v>1.3830373967781844</v>
      </c>
      <c r="D70" s="266">
        <f t="shared" si="38"/>
        <v>1.370528810195885</v>
      </c>
      <c r="E70" s="266">
        <f t="shared" si="38"/>
        <v>1.3581273769730964</v>
      </c>
      <c r="F70" s="266">
        <f t="shared" si="38"/>
        <v>1.3458290318264432</v>
      </c>
      <c r="G70" s="266">
        <f t="shared" si="38"/>
        <v>1.3336338289830059</v>
      </c>
      <c r="H70" s="266">
        <f t="shared" si="38"/>
        <v>1.3215417298136394</v>
      </c>
      <c r="I70" s="266">
        <f t="shared" si="38"/>
        <v>1.3095509304551498</v>
      </c>
      <c r="J70" s="266">
        <f t="shared" si="38"/>
        <v>1.297661417122016</v>
      </c>
      <c r="K70" s="267">
        <f t="shared" si="38"/>
        <v>1.2858730907004445</v>
      </c>
      <c r="N70" s="3160"/>
      <c r="O70" s="3162"/>
    </row>
    <row r="71" spans="1:15" ht="13.35" customHeight="1">
      <c r="A71" s="420" t="s">
        <v>2583</v>
      </c>
      <c r="B71" s="2442">
        <f>IF('Part III-Sources of Funds'!$I$38="","",-FV('Part III-Sources of Funds'!$K$38/12,12,B57/12,K39))</f>
        <v>2111988.7271660985</v>
      </c>
      <c r="C71" s="2442">
        <f>IF('Part III-Sources of Funds'!$I$38="","",-FV('Part III-Sources of Funds'!$K$38/12,12,C57/12,B71))</f>
        <v>2074157.6918330241</v>
      </c>
      <c r="D71" s="2442">
        <f>IF('Part III-Sources of Funds'!$I$38="","",-FV('Part III-Sources of Funds'!$K$38/12,12,D57/12,C71))</f>
        <v>2033793.0420005198</v>
      </c>
      <c r="E71" s="2442">
        <f>IF('Part III-Sources of Funds'!$I$38="","",-FV('Part III-Sources of Funds'!$K$38/12,12,E57/12,D71))</f>
        <v>1990725.0968132985</v>
      </c>
      <c r="F71" s="2442">
        <f>IF('Part III-Sources of Funds'!$I$38="","",-FV('Part III-Sources of Funds'!$K$38/12,12,F57/12,E71))</f>
        <v>1944772.8115749455</v>
      </c>
      <c r="G71" s="2442">
        <f>IF('Part III-Sources of Funds'!$I$38="","",-FV('Part III-Sources of Funds'!$K$38/12,12,G57/12,F71))</f>
        <v>1895743.0166904305</v>
      </c>
      <c r="H71" s="2442">
        <f>IF('Part III-Sources of Funds'!$I$38="","",-FV('Part III-Sources of Funds'!$K$38/12,12,H57/12,G71))</f>
        <v>1843429.6056391948</v>
      </c>
      <c r="I71" s="2442">
        <f>IF('Part III-Sources of Funds'!$I$38="","",-FV('Part III-Sources of Funds'!$K$38/12,12,I57/12,H71))</f>
        <v>1787612.6685652875</v>
      </c>
      <c r="J71" s="2442">
        <f>IF('Part III-Sources of Funds'!$I$38="","",-FV('Part III-Sources of Funds'!$K$38/12,12,J57/12,I71))</f>
        <v>1728057.5678424311</v>
      </c>
      <c r="K71" s="2442">
        <f>IF('Part III-Sources of Funds'!$I$38="","",-FV('Part III-Sources of Funds'!$K$38/12,12,K57/12,J71))</f>
        <v>1664513.9517279672</v>
      </c>
      <c r="N71" s="3160"/>
      <c r="O71" s="3162"/>
    </row>
    <row r="72" spans="1:15" ht="13.35" customHeight="1">
      <c r="A72" s="420" t="s">
        <v>2584</v>
      </c>
      <c r="B72" s="2438">
        <f>IF('Part III-Sources of Funds'!$I$39="","",-FV('Part III-Sources of Funds'!$K$39/12,12,B58/12,K40))</f>
        <v>914697.73703150684</v>
      </c>
      <c r="C72" s="2438">
        <f>IF('Part III-Sources of Funds'!$I$39="","",-FV('Part III-Sources of Funds'!$K$39/12,12,C58/12,B72))</f>
        <v>887171.78146693902</v>
      </c>
      <c r="D72" s="2438">
        <f>IF('Part III-Sources of Funds'!$I$39="","",-FV('Part III-Sources of Funds'!$K$39/12,12,D58/12,C72))</f>
        <v>859369.30122938729</v>
      </c>
      <c r="E72" s="2438">
        <f>IF('Part III-Sources of Funds'!$I$39="","",-FV('Part III-Sources of Funds'!$K$39/12,12,E58/12,D72))</f>
        <v>831287.51836280257</v>
      </c>
      <c r="F72" s="2438">
        <f>IF('Part III-Sources of Funds'!$I$39="","",-FV('Part III-Sources of Funds'!$K$39/12,12,F58/12,E72))</f>
        <v>802923.6270038978</v>
      </c>
      <c r="G72" s="2438">
        <f>IF('Part III-Sources of Funds'!$I$39="","",-FV('Part III-Sources of Funds'!$K$39/12,12,G58/12,F72))</f>
        <v>774274.79310179327</v>
      </c>
      <c r="H72" s="2438">
        <f>IF('Part III-Sources of Funds'!$I$39="","",-FV('Part III-Sources of Funds'!$K$39/12,12,H58/12,G72))</f>
        <v>745338.15413484478</v>
      </c>
      <c r="I72" s="2438">
        <f>IF('Part III-Sources of Funds'!$I$39="","",-FV('Part III-Sources of Funds'!$K$39/12,12,I58/12,H72))</f>
        <v>716110.8188246279</v>
      </c>
      <c r="J72" s="2438">
        <f>IF('Part III-Sources of Funds'!$I$39="","",-FV('Part III-Sources of Funds'!$K$39/12,12,J58/12,I72))</f>
        <v>686589.86684704805</v>
      </c>
      <c r="K72" s="2438">
        <f>IF('Part III-Sources of Funds'!$I$39="","",-FV('Part III-Sources of Funds'!$K$39/12,12,K58/12,J72))</f>
        <v>656772.34854054917</v>
      </c>
      <c r="N72" s="3160"/>
      <c r="O72" s="3162"/>
    </row>
    <row r="73" spans="1:15" ht="13.35" customHeight="1">
      <c r="A73" s="420" t="s">
        <v>2585</v>
      </c>
      <c r="B73" s="2438" t="str">
        <f>IF('Part III-Sources of Funds'!$I$40="","",-FV('Part III-Sources of Funds'!$K$40/12,12,B59/12,K41))</f>
        <v/>
      </c>
      <c r="C73" s="2438" t="str">
        <f>IF('Part III-Sources of Funds'!$I$40="","",-FV('Part III-Sources of Funds'!$K$40/12,12,C59/12,B73))</f>
        <v/>
      </c>
      <c r="D73" s="2438" t="str">
        <f>IF('Part III-Sources of Funds'!$I$40="","",-FV('Part III-Sources of Funds'!$K$40/12,12,D59/12,C73))</f>
        <v/>
      </c>
      <c r="E73" s="2438" t="str">
        <f>IF('Part III-Sources of Funds'!$I$40="","",-FV('Part III-Sources of Funds'!$K$40/12,12,E59/12,D73))</f>
        <v/>
      </c>
      <c r="F73" s="2438" t="str">
        <f>IF('Part III-Sources of Funds'!$I$40="","",-FV('Part III-Sources of Funds'!$K$40/12,12,F59/12,E73))</f>
        <v/>
      </c>
      <c r="G73" s="2438" t="str">
        <f>IF('Part III-Sources of Funds'!$I$40="","",-FV('Part III-Sources of Funds'!$K$40/12,12,G59/12,F73))</f>
        <v/>
      </c>
      <c r="H73" s="2438" t="str">
        <f>IF('Part III-Sources of Funds'!$I$40="","",-FV('Part III-Sources of Funds'!$K$40/12,12,H59/12,G73))</f>
        <v/>
      </c>
      <c r="I73" s="2438" t="str">
        <f>IF('Part III-Sources of Funds'!$I$40="","",-FV('Part III-Sources of Funds'!$K$40/12,12,I59/12,H73))</f>
        <v/>
      </c>
      <c r="J73" s="2438" t="str">
        <f>IF('Part III-Sources of Funds'!$I$40="","",-FV('Part III-Sources of Funds'!$K$40/12,12,J59/12,I73))</f>
        <v/>
      </c>
      <c r="K73" s="2438" t="str">
        <f>IF('Part III-Sources of Funds'!$I$40="","",-FV('Part III-Sources of Funds'!$K$40/12,12,K59/12,J73))</f>
        <v/>
      </c>
      <c r="N73" s="3160"/>
      <c r="O73" s="3162"/>
    </row>
    <row r="74" spans="1:15" ht="13.35" customHeight="1">
      <c r="A74" s="20" t="s">
        <v>772</v>
      </c>
      <c r="B74" s="2438" t="str">
        <f>IF('Part III-Sources of Funds'!$I$41="","",-FV('Part III-Sources of Funds'!$K$41/12,12,B60/12,K42))</f>
        <v/>
      </c>
      <c r="C74" s="2438" t="str">
        <f>IF('Part III-Sources of Funds'!$I$41="","",-FV('Part III-Sources of Funds'!$K$41/12,12,C60/12,B74))</f>
        <v/>
      </c>
      <c r="D74" s="2438" t="str">
        <f>IF('Part III-Sources of Funds'!$I$41="","",-FV('Part III-Sources of Funds'!$K$41/12,12,D60/12,C74))</f>
        <v/>
      </c>
      <c r="E74" s="2438" t="str">
        <f>IF('Part III-Sources of Funds'!$I$41="","",-FV('Part III-Sources of Funds'!$K$41/12,12,E60/12,D74))</f>
        <v/>
      </c>
      <c r="F74" s="2438" t="str">
        <f>IF('Part III-Sources of Funds'!$I$41="","",-FV('Part III-Sources of Funds'!$K$41/12,12,F60/12,E74))</f>
        <v/>
      </c>
      <c r="G74" s="2438" t="str">
        <f>IF('Part III-Sources of Funds'!$I$41="","",-FV('Part III-Sources of Funds'!$K$41/12,12,G60/12,F74))</f>
        <v/>
      </c>
      <c r="H74" s="2438" t="str">
        <f>IF('Part III-Sources of Funds'!$I$41="","",-FV('Part III-Sources of Funds'!$K$41/12,12,H60/12,G74))</f>
        <v/>
      </c>
      <c r="I74" s="2438" t="str">
        <f>IF('Part III-Sources of Funds'!$I$41="","",-FV('Part III-Sources of Funds'!$K$41/12,12,I60/12,H74))</f>
        <v/>
      </c>
      <c r="J74" s="2438" t="str">
        <f>IF('Part III-Sources of Funds'!$I$41="","",-FV('Part III-Sources of Funds'!$K$41/12,12,J60/12,I74))</f>
        <v/>
      </c>
      <c r="K74" s="2438" t="str">
        <f>IF('Part III-Sources of Funds'!$I$41="","",-FV('Part III-Sources of Funds'!$K$41/12,12,K60/12,J74))</f>
        <v/>
      </c>
      <c r="N74" s="3160"/>
      <c r="O74" s="3162"/>
    </row>
    <row r="75" spans="1:15" ht="13.35" customHeight="1">
      <c r="A75" s="420" t="s">
        <v>3902</v>
      </c>
      <c r="B75" s="2441" t="str">
        <f>IF('Part III-Sources of Funds'!$I$43="","",IF(-FV('Part III-Sources of Funds'!$K$43/12,12,B63/12,K43)&gt;0,-FV('Part III-Sources of Funds'!$K$43/12,12,B63/12,K43),0))</f>
        <v/>
      </c>
      <c r="C75" s="2441" t="str">
        <f>IF('Part III-Sources of Funds'!$I$43="","",IF(-FV('Part III-Sources of Funds'!$K$43/12,12,C63/12,B75)&gt;0,-FV('Part III-Sources of Funds'!$K$43/12,12,C63/12,B75),0))</f>
        <v/>
      </c>
      <c r="D75" s="2441" t="str">
        <f>IF('Part III-Sources of Funds'!$I$43="","",IF(-FV('Part III-Sources of Funds'!$K$43/12,12,D63/12,C75)&gt;0,-FV('Part III-Sources of Funds'!$K$43/12,12,D63/12,C75),0))</f>
        <v/>
      </c>
      <c r="E75" s="2441" t="str">
        <f>IF('Part III-Sources of Funds'!$I$43="","",IF(-FV('Part III-Sources of Funds'!$K$43/12,12,E63/12,D75)&gt;0,-FV('Part III-Sources of Funds'!$K$43/12,12,E63/12,D75),0))</f>
        <v/>
      </c>
      <c r="F75" s="2441" t="str">
        <f>IF('Part III-Sources of Funds'!$I$43="","",IF(-FV('Part III-Sources of Funds'!$K$43/12,12,F63/12,E75)&gt;0,-FV('Part III-Sources of Funds'!$K$43/12,12,F63/12,E75),0))</f>
        <v/>
      </c>
      <c r="G75" s="2441" t="str">
        <f>IF('Part III-Sources of Funds'!$I$43="","",IF(-FV('Part III-Sources of Funds'!$K$43/12,12,G63/12,F75)&gt;0,-FV('Part III-Sources of Funds'!$K$43/12,12,G63/12,F75),0))</f>
        <v/>
      </c>
      <c r="H75" s="2441" t="str">
        <f>IF('Part III-Sources of Funds'!$I$41="","",-FV('Part III-Sources of Funds'!$K$41/12,12,H61/12,G75))</f>
        <v/>
      </c>
      <c r="I75" s="2441" t="str">
        <f>IF('Part III-Sources of Funds'!$I$41="","",-FV('Part III-Sources of Funds'!$K$41/12,12,I61/12,H75))</f>
        <v/>
      </c>
      <c r="J75" s="2441" t="str">
        <f>IF('Part III-Sources of Funds'!$I$41="","",-FV('Part III-Sources of Funds'!$K$41/12,12,J61/12,I75))</f>
        <v/>
      </c>
      <c r="K75" s="2441" t="str">
        <f>IF('Part III-Sources of Funds'!$I$41="","",-FV('Part III-Sources of Funds'!$K$41/12,12,K61/12,J75))</f>
        <v/>
      </c>
      <c r="N75" s="3164"/>
      <c r="O75" s="3166"/>
    </row>
    <row r="76" spans="1:15" ht="4.3499999999999996" customHeight="1">
      <c r="B76" s="16"/>
      <c r="C76" s="16"/>
      <c r="D76" s="16"/>
      <c r="E76" s="16"/>
      <c r="F76" s="16"/>
      <c r="G76" s="16"/>
      <c r="H76" s="16"/>
      <c r="I76" s="16"/>
      <c r="J76" s="16"/>
      <c r="K76" s="16"/>
    </row>
    <row r="77" spans="1:15" ht="14.4" customHeight="1">
      <c r="A77" s="12" t="s">
        <v>2448</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2880" t="s">
        <v>2589</v>
      </c>
      <c r="O77" s="2880"/>
    </row>
    <row r="78" spans="1:15" ht="13.35" customHeight="1">
      <c r="A78" s="17" t="s">
        <v>2373</v>
      </c>
      <c r="B78" s="18">
        <f t="shared" ref="B78:K78" si="40">$B$14*(1+$B$5)^(B77-1)</f>
        <v>1141956.5175989491</v>
      </c>
      <c r="C78" s="18">
        <f t="shared" si="40"/>
        <v>1164795.647950928</v>
      </c>
      <c r="D78" s="18">
        <f t="shared" si="40"/>
        <v>1188091.5609099467</v>
      </c>
      <c r="E78" s="18">
        <f t="shared" si="40"/>
        <v>1211853.3921281453</v>
      </c>
      <c r="F78" s="18">
        <f t="shared" si="40"/>
        <v>1236090.4599707082</v>
      </c>
      <c r="G78" s="18">
        <f t="shared" si="40"/>
        <v>1260812.2691701225</v>
      </c>
      <c r="H78" s="18">
        <f t="shared" si="40"/>
        <v>1286028.514553525</v>
      </c>
      <c r="I78" s="18">
        <f t="shared" si="40"/>
        <v>1311749.0848445953</v>
      </c>
      <c r="J78" s="18">
        <f t="shared" si="40"/>
        <v>1337984.0665414876</v>
      </c>
      <c r="K78" s="19">
        <f t="shared" si="40"/>
        <v>1364743.7478723172</v>
      </c>
      <c r="N78" s="3155"/>
      <c r="O78" s="3157"/>
    </row>
    <row r="79" spans="1:15" ht="13.35" customHeight="1">
      <c r="A79" s="20" t="s">
        <v>1003</v>
      </c>
      <c r="B79" s="21">
        <f t="shared" ref="B79:K79" si="41">$B$15*(1+$B$5)^(B77-1)</f>
        <v>22839.130351978984</v>
      </c>
      <c r="C79" s="21">
        <f t="shared" si="41"/>
        <v>23295.912959018562</v>
      </c>
      <c r="D79" s="21">
        <f t="shared" si="41"/>
        <v>23761.831218198935</v>
      </c>
      <c r="E79" s="21">
        <f t="shared" si="41"/>
        <v>24237.067842562908</v>
      </c>
      <c r="F79" s="21">
        <f t="shared" si="41"/>
        <v>24721.809199414165</v>
      </c>
      <c r="G79" s="21">
        <f t="shared" si="41"/>
        <v>25216.245383402449</v>
      </c>
      <c r="H79" s="21">
        <f t="shared" si="41"/>
        <v>25720.5702910705</v>
      </c>
      <c r="I79" s="21">
        <f t="shared" si="41"/>
        <v>26234.981696891908</v>
      </c>
      <c r="J79" s="21">
        <f t="shared" si="41"/>
        <v>26759.68133082975</v>
      </c>
      <c r="K79" s="22">
        <f t="shared" si="41"/>
        <v>27294.874957446344</v>
      </c>
      <c r="N79" s="3160"/>
      <c r="O79" s="3162"/>
    </row>
    <row r="80" spans="1:15" ht="13.35" customHeight="1">
      <c r="A80" s="20" t="s">
        <v>2374</v>
      </c>
      <c r="B80" s="21">
        <f t="shared" ref="B80:K80" si="42">-(B78+B79)*$B$8</f>
        <v>-81535.695356564975</v>
      </c>
      <c r="C80" s="21">
        <f t="shared" si="42"/>
        <v>-83166.40926369626</v>
      </c>
      <c r="D80" s="21">
        <f t="shared" si="42"/>
        <v>-84829.737448970191</v>
      </c>
      <c r="E80" s="21">
        <f t="shared" si="42"/>
        <v>-86526.332197949581</v>
      </c>
      <c r="F80" s="21">
        <f t="shared" si="42"/>
        <v>-88256.858841908586</v>
      </c>
      <c r="G80" s="21">
        <f t="shared" si="42"/>
        <v>-90021.996018746766</v>
      </c>
      <c r="H80" s="21">
        <f t="shared" si="42"/>
        <v>-91822.4359391217</v>
      </c>
      <c r="I80" s="21">
        <f t="shared" si="42"/>
        <v>-93658.884657904113</v>
      </c>
      <c r="J80" s="21">
        <f t="shared" si="42"/>
        <v>-95532.062351062224</v>
      </c>
      <c r="K80" s="22">
        <f t="shared" si="42"/>
        <v>-97442.703598083448</v>
      </c>
      <c r="N80" s="3160"/>
      <c r="O80" s="3162"/>
    </row>
    <row r="81" spans="1:19" ht="13.35" customHeight="1">
      <c r="A81" s="20" t="s">
        <v>50</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160"/>
      <c r="O81" s="3162"/>
    </row>
    <row r="82" spans="1:19" ht="13.35" customHeight="1">
      <c r="A82" s="20" t="s">
        <v>51</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160"/>
      <c r="O82" s="3162"/>
    </row>
    <row r="83" spans="1:19" ht="13.35" customHeight="1">
      <c r="A83" s="420" t="s">
        <v>4607</v>
      </c>
      <c r="B83" s="21">
        <f t="shared" ref="B83:K83" si="43">SUM(B78:B82)</f>
        <v>1083259.9525943631</v>
      </c>
      <c r="C83" s="21">
        <f t="shared" si="43"/>
        <v>1104925.1516462502</v>
      </c>
      <c r="D83" s="21">
        <f t="shared" si="43"/>
        <v>1127023.6546791755</v>
      </c>
      <c r="E83" s="21">
        <f t="shared" si="43"/>
        <v>1149564.1277727587</v>
      </c>
      <c r="F83" s="21">
        <f t="shared" si="43"/>
        <v>1172555.4103282138</v>
      </c>
      <c r="G83" s="21">
        <f t="shared" si="43"/>
        <v>1196006.5185347782</v>
      </c>
      <c r="H83" s="21">
        <f t="shared" si="43"/>
        <v>1219926.6489054738</v>
      </c>
      <c r="I83" s="21">
        <f t="shared" si="43"/>
        <v>1244325.1818835831</v>
      </c>
      <c r="J83" s="21">
        <f t="shared" si="43"/>
        <v>1269211.6855212552</v>
      </c>
      <c r="K83" s="22">
        <f t="shared" si="43"/>
        <v>1294595.91923168</v>
      </c>
      <c r="N83" s="3160"/>
      <c r="O83" s="3162"/>
    </row>
    <row r="84" spans="1:19" ht="13.35" customHeight="1">
      <c r="A84" s="20" t="s">
        <v>604</v>
      </c>
      <c r="B84" s="21">
        <f t="shared" ref="B84:K84" si="44">$B$20*(1+$B$6)^(B77-1)</f>
        <v>-758068.23186038481</v>
      </c>
      <c r="C84" s="21">
        <f t="shared" si="44"/>
        <v>-780810.27881619625</v>
      </c>
      <c r="D84" s="21">
        <f t="shared" si="44"/>
        <v>-804234.58718068223</v>
      </c>
      <c r="E84" s="21">
        <f t="shared" si="44"/>
        <v>-828361.62479610275</v>
      </c>
      <c r="F84" s="21">
        <f t="shared" si="44"/>
        <v>-853212.47353998572</v>
      </c>
      <c r="G84" s="21">
        <f t="shared" si="44"/>
        <v>-878808.84774618526</v>
      </c>
      <c r="H84" s="21">
        <f t="shared" si="44"/>
        <v>-905173.11317857099</v>
      </c>
      <c r="I84" s="21">
        <f t="shared" si="44"/>
        <v>-932328.30657392798</v>
      </c>
      <c r="J84" s="21">
        <f t="shared" si="44"/>
        <v>-960298.15577114583</v>
      </c>
      <c r="K84" s="22">
        <f t="shared" si="44"/>
        <v>-989107.10044428008</v>
      </c>
      <c r="N84" s="3160"/>
      <c r="O84" s="3162"/>
    </row>
    <row r="85" spans="1:19" ht="13.35" customHeight="1">
      <c r="A85" s="20" t="s">
        <v>1102</v>
      </c>
      <c r="B85" s="21">
        <f>IF(AND('Part VII-Pro Forma'!$G$8="Yes",'Part VII-Pro Forma'!$G$9="Yes"),"Choose One!",IF('Part VII-Pro Forma'!$G$8="Yes",ROUND((-$K$8*(1+'Part VII-Pro Forma'!$B$6)^('Part VII-Pro Forma'!B77-1)),),IF('Part VII-Pro Forma'!$G$9="Yes",ROUND((-(SUM(B78:B81)*'Part VII-Pro Forma'!$K$9)),),"Choose mgt fee")))</f>
        <v>-54163</v>
      </c>
      <c r="C85" s="21">
        <f>IF(AND('Part VII-Pro Forma'!$G$8="Yes",'Part VII-Pro Forma'!$G$9="Yes"),"Choose One!",IF('Part VII-Pro Forma'!$G$8="Yes",ROUND((-$K$8*(1+'Part VII-Pro Forma'!$B$6)^('Part VII-Pro Forma'!C77-1)),),IF('Part VII-Pro Forma'!$G$9="Yes",ROUND((-(SUM(C78:C81)*'Part VII-Pro Forma'!$K$9)),),"Choose mgt fee")))</f>
        <v>-55246</v>
      </c>
      <c r="D85" s="21">
        <f>IF(AND('Part VII-Pro Forma'!$G$8="Yes",'Part VII-Pro Forma'!$G$9="Yes"),"Choose One!",IF('Part VII-Pro Forma'!$G$8="Yes",ROUND((-$K$8*(1+'Part VII-Pro Forma'!$B$6)^('Part VII-Pro Forma'!D77-1)),),IF('Part VII-Pro Forma'!$G$9="Yes",ROUND((-(SUM(D78:D81)*'Part VII-Pro Forma'!$K$9)),),"Choose mgt fee")))</f>
        <v>-56351</v>
      </c>
      <c r="E85" s="21">
        <f>IF(AND('Part VII-Pro Forma'!$G$8="Yes",'Part VII-Pro Forma'!$G$9="Yes"),"Choose One!",IF('Part VII-Pro Forma'!$G$8="Yes",ROUND((-$K$8*(1+'Part VII-Pro Forma'!$B$6)^('Part VII-Pro Forma'!E77-1)),),IF('Part VII-Pro Forma'!$G$9="Yes",ROUND((-(SUM(E78:E81)*'Part VII-Pro Forma'!$K$9)),),"Choose mgt fee")))</f>
        <v>-57478</v>
      </c>
      <c r="F85" s="21">
        <f>IF(AND('Part VII-Pro Forma'!$G$8="Yes",'Part VII-Pro Forma'!$G$9="Yes"),"Choose One!",IF('Part VII-Pro Forma'!$G$8="Yes",ROUND((-$K$8*(1+'Part VII-Pro Forma'!$B$6)^('Part VII-Pro Forma'!F77-1)),),IF('Part VII-Pro Forma'!$G$9="Yes",ROUND((-(SUM(F78:F81)*'Part VII-Pro Forma'!$K$9)),),"Choose mgt fee")))</f>
        <v>-58628</v>
      </c>
      <c r="G85" s="21">
        <f>IF(AND('Part VII-Pro Forma'!$G$8="Yes",'Part VII-Pro Forma'!$G$9="Yes"),"Choose One!",IF('Part VII-Pro Forma'!$G$8="Yes",ROUND((-$K$8*(1+'Part VII-Pro Forma'!$B$6)^('Part VII-Pro Forma'!G77-1)),),IF('Part VII-Pro Forma'!$G$9="Yes",ROUND((-(SUM(G78:G81)*'Part VII-Pro Forma'!$K$9)),),"Choose mgt fee")))</f>
        <v>-59800</v>
      </c>
      <c r="H85" s="21">
        <f>IF(AND('Part VII-Pro Forma'!$G$8="Yes",'Part VII-Pro Forma'!$G$9="Yes"),"Choose One!",IF('Part VII-Pro Forma'!$G$8="Yes",ROUND((-$K$8*(1+'Part VII-Pro Forma'!$B$6)^('Part VII-Pro Forma'!H77-1)),),IF('Part VII-Pro Forma'!$G$9="Yes",ROUND((-(SUM(H78:H81)*'Part VII-Pro Forma'!$K$9)),),"Choose mgt fee")))</f>
        <v>-60996</v>
      </c>
      <c r="I85" s="21">
        <f>IF(AND('Part VII-Pro Forma'!$G$8="Yes",'Part VII-Pro Forma'!$G$9="Yes"),"Choose One!",IF('Part VII-Pro Forma'!$G$8="Yes",ROUND((-$K$8*(1+'Part VII-Pro Forma'!$B$6)^('Part VII-Pro Forma'!I77-1)),),IF('Part VII-Pro Forma'!$G$9="Yes",ROUND((-(SUM(I78:I81)*'Part VII-Pro Forma'!$K$9)),),"Choose mgt fee")))</f>
        <v>-62216</v>
      </c>
      <c r="J85" s="21">
        <f>IF(AND('Part VII-Pro Forma'!$G$8="Yes",'Part VII-Pro Forma'!$G$9="Yes"),"Choose One!",IF('Part VII-Pro Forma'!$G$8="Yes",ROUND((-$K$8*(1+'Part VII-Pro Forma'!$B$6)^('Part VII-Pro Forma'!J77-1)),),IF('Part VII-Pro Forma'!$G$9="Yes",ROUND((-(SUM(J78:J81)*'Part VII-Pro Forma'!$K$9)),),"Choose mgt fee")))</f>
        <v>-63461</v>
      </c>
      <c r="K85" s="22">
        <f>IF(AND('Part VII-Pro Forma'!$G$8="Yes",'Part VII-Pro Forma'!$G$9="Yes"),"Choose One!",IF('Part VII-Pro Forma'!$G$8="Yes",ROUND((-$K$8*(1+'Part VII-Pro Forma'!$B$6)^('Part VII-Pro Forma'!K77-1)),),IF('Part VII-Pro Forma'!$G$9="Yes",ROUND((-(SUM(K78:K81)*'Part VII-Pro Forma'!$K$9)),),"Choose mgt fee")))</f>
        <v>-64730</v>
      </c>
      <c r="N85" s="3160"/>
      <c r="O85" s="3162"/>
    </row>
    <row r="86" spans="1:19" ht="13.35" customHeight="1">
      <c r="A86" s="20" t="s">
        <v>1187</v>
      </c>
      <c r="B86" s="21">
        <f t="shared" ref="B86:K86" si="45">$B$22*(1+$B$7)^(B77-1)</f>
        <v>-37928.335928057677</v>
      </c>
      <c r="C86" s="21">
        <f t="shared" si="45"/>
        <v>-39066.186005899406</v>
      </c>
      <c r="D86" s="21">
        <f t="shared" si="45"/>
        <v>-40238.171586076387</v>
      </c>
      <c r="E86" s="21">
        <f t="shared" si="45"/>
        <v>-41445.316733658685</v>
      </c>
      <c r="F86" s="21">
        <f t="shared" si="45"/>
        <v>-42688.676235668441</v>
      </c>
      <c r="G86" s="21">
        <f t="shared" si="45"/>
        <v>-43969.336522738493</v>
      </c>
      <c r="H86" s="21">
        <f t="shared" si="45"/>
        <v>-45288.416618420655</v>
      </c>
      <c r="I86" s="21">
        <f t="shared" si="45"/>
        <v>-46647.069116973267</v>
      </c>
      <c r="J86" s="21">
        <f t="shared" si="45"/>
        <v>-48046.481190482467</v>
      </c>
      <c r="K86" s="22">
        <f t="shared" si="45"/>
        <v>-49487.875626196932</v>
      </c>
      <c r="N86" s="3160"/>
      <c r="O86" s="3162"/>
    </row>
    <row r="87" spans="1:19" ht="13.35" customHeight="1">
      <c r="A87" s="420" t="s">
        <v>4606</v>
      </c>
      <c r="B87" s="2436">
        <f>IF(B77&lt;=+'Part VI-Revenues &amp; Expenses'!$K$243,-'Part VI-Revenues &amp; Expenses'!$H$243,0)</f>
        <v>0</v>
      </c>
      <c r="C87" s="2436">
        <f>IF(C77&lt;=+'Part VI-Revenues &amp; Expenses'!$K$243,-'Part VI-Revenues &amp; Expenses'!$H$243,0)</f>
        <v>0</v>
      </c>
      <c r="D87" s="2436">
        <f>IF(D77&lt;=+'Part VI-Revenues &amp; Expenses'!$K$243,-'Part VI-Revenues &amp; Expenses'!$H$243,0)</f>
        <v>0</v>
      </c>
      <c r="E87" s="2436">
        <f>IF(E77&lt;=+'Part VI-Revenues &amp; Expenses'!$K$243,-'Part VI-Revenues &amp; Expenses'!$H$243,0)</f>
        <v>0</v>
      </c>
      <c r="F87" s="2436">
        <f>IF(F77&lt;=+'Part VI-Revenues &amp; Expenses'!$K$243,-'Part VI-Revenues &amp; Expenses'!$H$243,0)</f>
        <v>0</v>
      </c>
      <c r="G87" s="2436">
        <f>IF(G77&lt;=+'Part VI-Revenues &amp; Expenses'!$K$243,-'Part VI-Revenues &amp; Expenses'!$H$243,0)</f>
        <v>0</v>
      </c>
      <c r="H87" s="2436">
        <f>IF(H77&lt;=+'Part VI-Revenues &amp; Expenses'!$K$243,-'Part VI-Revenues &amp; Expenses'!$H$243,0)</f>
        <v>0</v>
      </c>
      <c r="I87" s="2436">
        <f>IF(I77&lt;=+'Part VI-Revenues &amp; Expenses'!$K$243,-'Part VI-Revenues &amp; Expenses'!$H$243,0)</f>
        <v>0</v>
      </c>
      <c r="J87" s="2436">
        <f>IF(J77&lt;=+'Part VI-Revenues &amp; Expenses'!$K$243,-'Part VI-Revenues &amp; Expenses'!$H$243,0)</f>
        <v>0</v>
      </c>
      <c r="K87" s="2436">
        <f>IF(K77&lt;=+'Part VI-Revenues &amp; Expenses'!$K$243,-'Part VI-Revenues &amp; Expenses'!$H$243,0)</f>
        <v>0</v>
      </c>
      <c r="N87" s="3160"/>
      <c r="O87" s="3162"/>
      <c r="Q87" s="971">
        <v>10</v>
      </c>
      <c r="R87" s="1091">
        <f>-SUM(B92:K92)</f>
        <v>0</v>
      </c>
      <c r="S87" s="1091">
        <f>SUM(B93:K93)+R87</f>
        <v>0</v>
      </c>
    </row>
    <row r="88" spans="1:19" ht="13.35" customHeight="1">
      <c r="A88" s="20" t="s">
        <v>1188</v>
      </c>
      <c r="B88" s="21">
        <f>SUM(B83:B87)</f>
        <v>233100.38480592065</v>
      </c>
      <c r="C88" s="21">
        <f t="shared" ref="C88" si="46">SUM(C83:C87)</f>
        <v>229802.68682415452</v>
      </c>
      <c r="D88" s="21">
        <f t="shared" ref="D88" si="47">SUM(D83:D87)</f>
        <v>226199.89591241686</v>
      </c>
      <c r="E88" s="21">
        <f t="shared" ref="E88" si="48">SUM(E83:E87)</f>
        <v>222279.18624299727</v>
      </c>
      <c r="F88" s="21">
        <f t="shared" ref="F88" si="49">SUM(F83:F87)</f>
        <v>218026.26055255966</v>
      </c>
      <c r="G88" s="21">
        <f t="shared" ref="G88" si="50">SUM(G83:G87)</f>
        <v>213428.33426585438</v>
      </c>
      <c r="H88" s="21">
        <f t="shared" ref="H88" si="51">SUM(H83:H87)</f>
        <v>208469.11910848212</v>
      </c>
      <c r="I88" s="21">
        <f t="shared" ref="I88" si="52">SUM(I83:I87)</f>
        <v>203133.80619268183</v>
      </c>
      <c r="J88" s="21">
        <f t="shared" ref="J88" si="53">SUM(J83:J87)</f>
        <v>197406.04855962694</v>
      </c>
      <c r="K88" s="1611">
        <f>SUM(K83:K87)</f>
        <v>191270.94316120297</v>
      </c>
      <c r="N88" s="3160"/>
      <c r="O88" s="3162"/>
    </row>
    <row r="89" spans="1:19" ht="13.35" customHeight="1">
      <c r="A89" s="20" t="str">
        <f>$A57</f>
        <v>Mortgage A</v>
      </c>
      <c r="B89" s="2437">
        <f>IF('Part III-Sources of Funds'!$P$38="", 0,-'Part III-Sources of Funds'!$P$38)</f>
        <v>-173996.44355885265</v>
      </c>
      <c r="C89" s="2437">
        <f>IF('Part III-Sources of Funds'!$P$38="", 0,-'Part III-Sources of Funds'!$P$38)</f>
        <v>-173996.44355885265</v>
      </c>
      <c r="D89" s="2437">
        <f>IF('Part III-Sources of Funds'!$P$38="", 0,-'Part III-Sources of Funds'!$P$38)</f>
        <v>-173996.44355885265</v>
      </c>
      <c r="E89" s="2437">
        <f>IF('Part III-Sources of Funds'!$P$38="", 0,-'Part III-Sources of Funds'!$P$38)</f>
        <v>-173996.44355885265</v>
      </c>
      <c r="F89" s="2437">
        <f>IF('Part III-Sources of Funds'!$P$38="", 0,-'Part III-Sources of Funds'!$P$38)</f>
        <v>-173996.44355885265</v>
      </c>
      <c r="G89" s="2437">
        <f>IF('Part III-Sources of Funds'!$P$38="", 0,-'Part III-Sources of Funds'!$P$38)</f>
        <v>-173996.44355885265</v>
      </c>
      <c r="H89" s="2437">
        <f>IF('Part III-Sources of Funds'!$P$38="", 0,-'Part III-Sources of Funds'!$P$38)</f>
        <v>-173996.44355885265</v>
      </c>
      <c r="I89" s="2437">
        <f>IF('Part III-Sources of Funds'!$P$38="", 0,-'Part III-Sources of Funds'!$P$38)</f>
        <v>-173996.44355885265</v>
      </c>
      <c r="J89" s="2437">
        <f>IF('Part III-Sources of Funds'!$P$38="", 0,-'Part III-Sources of Funds'!$P$38)</f>
        <v>-173996.44355885265</v>
      </c>
      <c r="K89" s="2437">
        <f>IF('Part III-Sources of Funds'!$P$38="", 0,-'Part III-Sources of Funds'!$P$38)</f>
        <v>-173996.44355885265</v>
      </c>
      <c r="N89" s="3160"/>
      <c r="O89" s="3162"/>
    </row>
    <row r="90" spans="1:19" ht="13.35" customHeight="1">
      <c r="A90" s="20" t="str">
        <f>$A58</f>
        <v>Mortgage B</v>
      </c>
      <c r="B90" s="2438">
        <v>-36547</v>
      </c>
      <c r="C90" s="2438">
        <v>-36547</v>
      </c>
      <c r="D90" s="2438">
        <v>-36547</v>
      </c>
      <c r="E90" s="2438">
        <v>-36547</v>
      </c>
      <c r="F90" s="2438"/>
      <c r="G90" s="2438"/>
      <c r="H90" s="2438">
        <v>0</v>
      </c>
      <c r="I90" s="2438">
        <v>0</v>
      </c>
      <c r="J90" s="2438">
        <v>0</v>
      </c>
      <c r="K90" s="2438">
        <v>0</v>
      </c>
      <c r="N90" s="3160"/>
      <c r="O90" s="3162"/>
    </row>
    <row r="91" spans="1:19" ht="13.35" customHeight="1">
      <c r="A91" s="20" t="str">
        <f>$A59</f>
        <v>Mortgage C</v>
      </c>
      <c r="B91" s="2438">
        <f>IF('Part III-Sources of Funds'!$P$40="", 0,-'Part III-Sources of Funds'!$P$40)</f>
        <v>0</v>
      </c>
      <c r="C91" s="2438">
        <f>IF('Part III-Sources of Funds'!$P$40="", 0,-'Part III-Sources of Funds'!$P$40)</f>
        <v>0</v>
      </c>
      <c r="D91" s="2438">
        <f>IF('Part III-Sources of Funds'!$P$40="", 0,-'Part III-Sources of Funds'!$P$40)</f>
        <v>0</v>
      </c>
      <c r="E91" s="2438">
        <f>IF('Part III-Sources of Funds'!$P$40="", 0,-'Part III-Sources of Funds'!$P$40)</f>
        <v>0</v>
      </c>
      <c r="F91" s="2438">
        <f>IF('Part III-Sources of Funds'!$P$40="", 0,-'Part III-Sources of Funds'!$P$40)</f>
        <v>0</v>
      </c>
      <c r="G91" s="2438">
        <f>IF('Part III-Sources of Funds'!$P$40="", 0,-'Part III-Sources of Funds'!$P$40)</f>
        <v>0</v>
      </c>
      <c r="H91" s="2438">
        <f>IF('Part III-Sources of Funds'!$P$40="", 0,-'Part III-Sources of Funds'!$P$40)</f>
        <v>0</v>
      </c>
      <c r="I91" s="2438">
        <f>IF('Part III-Sources of Funds'!$P$40="", 0,-'Part III-Sources of Funds'!$P$40)</f>
        <v>0</v>
      </c>
      <c r="J91" s="2438">
        <f>IF('Part III-Sources of Funds'!$P$40="", 0,-'Part III-Sources of Funds'!$P$40)</f>
        <v>0</v>
      </c>
      <c r="K91" s="2438">
        <f>IF('Part III-Sources of Funds'!$P$40="", 0,-'Part III-Sources of Funds'!$P$40)</f>
        <v>0</v>
      </c>
      <c r="N91" s="3160"/>
      <c r="O91" s="3162"/>
    </row>
    <row r="92" spans="1:19" ht="13.35" customHeight="1">
      <c r="A92" s="20" t="str">
        <f>$A60</f>
        <v>D/S Other Source,not DDF</v>
      </c>
      <c r="B92" s="2438">
        <f>IF('Part III-Sources of Funds'!$P$41="", 0,-'Part III-Sources of Funds'!$P$41)</f>
        <v>0</v>
      </c>
      <c r="C92" s="2438">
        <f>IF('Part III-Sources of Funds'!$P$41="", 0,-'Part III-Sources of Funds'!$P$41)</f>
        <v>0</v>
      </c>
      <c r="D92" s="2438">
        <f>IF('Part III-Sources of Funds'!$P$41="", 0,-'Part III-Sources of Funds'!$P$41)</f>
        <v>0</v>
      </c>
      <c r="E92" s="2438">
        <f>IF('Part III-Sources of Funds'!$P$41="", 0,-'Part III-Sources of Funds'!$P$41)</f>
        <v>0</v>
      </c>
      <c r="F92" s="2438">
        <f>IF('Part III-Sources of Funds'!$P$41="", 0,-'Part III-Sources of Funds'!$P$41)</f>
        <v>0</v>
      </c>
      <c r="G92" s="2438">
        <f>IF('Part III-Sources of Funds'!$P$41="", 0,-'Part III-Sources of Funds'!$P$41)</f>
        <v>0</v>
      </c>
      <c r="H92" s="2438">
        <f>IF('Part III-Sources of Funds'!$P$41="", 0,-'Part III-Sources of Funds'!$P$41)</f>
        <v>0</v>
      </c>
      <c r="I92" s="2438">
        <f>IF('Part III-Sources of Funds'!$P$41="", 0,-'Part III-Sources of Funds'!$P$41)</f>
        <v>0</v>
      </c>
      <c r="J92" s="2438">
        <f>IF('Part III-Sources of Funds'!$P$41="", 0,-'Part III-Sources of Funds'!$P$41)</f>
        <v>0</v>
      </c>
      <c r="K92" s="2438">
        <f>IF('Part III-Sources of Funds'!$P$41="", 0,-'Part III-Sources of Funds'!$P$41)</f>
        <v>0</v>
      </c>
      <c r="N92" s="3160"/>
      <c r="O92" s="3162"/>
    </row>
    <row r="93" spans="1:19" ht="13.35" customHeight="1">
      <c r="A93" s="20" t="s">
        <v>752</v>
      </c>
      <c r="B93" s="2439"/>
      <c r="C93" s="2439"/>
      <c r="D93" s="2439"/>
      <c r="E93" s="2439"/>
      <c r="F93" s="2439"/>
      <c r="G93" s="2439"/>
      <c r="H93" s="2439"/>
      <c r="I93" s="2439"/>
      <c r="J93" s="2439"/>
      <c r="K93" s="2439"/>
      <c r="N93" s="3160"/>
      <c r="O93" s="3162"/>
    </row>
    <row r="94" spans="1:19" ht="13.35" customHeight="1">
      <c r="A94" s="420" t="s">
        <v>1150</v>
      </c>
      <c r="B94" s="2441">
        <f>+K62</f>
        <v>-10000</v>
      </c>
      <c r="C94" s="2441">
        <f t="shared" ref="C94:K94" si="54">+B94</f>
        <v>-10000</v>
      </c>
      <c r="D94" s="2441">
        <f t="shared" si="54"/>
        <v>-10000</v>
      </c>
      <c r="E94" s="2441">
        <f t="shared" si="54"/>
        <v>-10000</v>
      </c>
      <c r="F94" s="2441">
        <f t="shared" si="54"/>
        <v>-10000</v>
      </c>
      <c r="G94" s="2441">
        <f t="shared" si="54"/>
        <v>-10000</v>
      </c>
      <c r="H94" s="2441">
        <f t="shared" si="54"/>
        <v>-10000</v>
      </c>
      <c r="I94" s="2441">
        <f t="shared" si="54"/>
        <v>-10000</v>
      </c>
      <c r="J94" s="2441">
        <f t="shared" si="54"/>
        <v>-10000</v>
      </c>
      <c r="K94" s="2441">
        <f t="shared" si="54"/>
        <v>-10000</v>
      </c>
      <c r="N94" s="3160"/>
      <c r="O94" s="3162"/>
    </row>
    <row r="95" spans="1:19" ht="13.35" customHeight="1">
      <c r="A95" s="20" t="s">
        <v>1151</v>
      </c>
      <c r="B95" s="21">
        <f t="shared" ref="B95:K95" si="55">SUM(B88:B94)</f>
        <v>12556.941247067996</v>
      </c>
      <c r="C95" s="21">
        <f t="shared" si="55"/>
        <v>9259.2432653018623</v>
      </c>
      <c r="D95" s="21">
        <f t="shared" si="55"/>
        <v>5656.4523535642074</v>
      </c>
      <c r="E95" s="21">
        <f t="shared" si="55"/>
        <v>1735.742684144614</v>
      </c>
      <c r="F95" s="21">
        <f t="shared" si="55"/>
        <v>34029.816993707005</v>
      </c>
      <c r="G95" s="21">
        <f t="shared" si="55"/>
        <v>29431.89070700173</v>
      </c>
      <c r="H95" s="21">
        <f t="shared" si="55"/>
        <v>24472.675549629465</v>
      </c>
      <c r="I95" s="21">
        <f t="shared" si="55"/>
        <v>19137.36263382918</v>
      </c>
      <c r="J95" s="21">
        <f t="shared" si="55"/>
        <v>13409.605000774289</v>
      </c>
      <c r="K95" s="22">
        <f t="shared" si="55"/>
        <v>7274.499602350319</v>
      </c>
      <c r="N95" s="3160"/>
      <c r="O95" s="3162"/>
    </row>
    <row r="96" spans="1:19" ht="13.35" customHeight="1">
      <c r="A96" s="20" t="str">
        <f>$A65</f>
        <v>DCR Mortgage A</v>
      </c>
      <c r="B96" s="23">
        <f t="shared" ref="B96:K96" si="56">IF(B89=0,"",-B88/B89)</f>
        <v>1.3396847661836069</v>
      </c>
      <c r="C96" s="23">
        <f t="shared" si="56"/>
        <v>1.3207320915523537</v>
      </c>
      <c r="D96" s="23">
        <f t="shared" si="56"/>
        <v>1.300025973438399</v>
      </c>
      <c r="E96" s="23">
        <f t="shared" si="56"/>
        <v>1.277492698681588</v>
      </c>
      <c r="F96" s="23">
        <f t="shared" si="56"/>
        <v>1.2530500974223322</v>
      </c>
      <c r="G96" s="23">
        <f t="shared" si="56"/>
        <v>1.2266246935884311</v>
      </c>
      <c r="H96" s="23">
        <f t="shared" si="56"/>
        <v>1.198122874494095</v>
      </c>
      <c r="I96" s="23">
        <f t="shared" si="56"/>
        <v>1.1674595298493773</v>
      </c>
      <c r="J96" s="23">
        <f t="shared" si="56"/>
        <v>1.1345407096947715</v>
      </c>
      <c r="K96" s="24">
        <f t="shared" si="56"/>
        <v>1.0992807625778132</v>
      </c>
      <c r="N96" s="3160"/>
      <c r="O96" s="3162"/>
    </row>
    <row r="97" spans="1:15" ht="13.35" customHeight="1">
      <c r="A97" s="20" t="str">
        <f>$A66</f>
        <v>DCR Mortgage B</v>
      </c>
      <c r="B97" s="23">
        <f t="shared" ref="B97:K97" si="57">IF(B90=0,"",-(B88+B89)/B90)</f>
        <v>1.6172036349650587</v>
      </c>
      <c r="C97" s="23">
        <f t="shared" si="57"/>
        <v>1.5269719338195162</v>
      </c>
      <c r="D97" s="23">
        <f t="shared" si="57"/>
        <v>1.4283922716930038</v>
      </c>
      <c r="E97" s="23">
        <f t="shared" si="57"/>
        <v>1.321113707941681</v>
      </c>
      <c r="F97" s="23" t="str">
        <f t="shared" si="57"/>
        <v/>
      </c>
      <c r="G97" s="23" t="str">
        <f t="shared" si="57"/>
        <v/>
      </c>
      <c r="H97" s="23" t="str">
        <f t="shared" si="57"/>
        <v/>
      </c>
      <c r="I97" s="23" t="str">
        <f t="shared" si="57"/>
        <v/>
      </c>
      <c r="J97" s="23" t="str">
        <f t="shared" si="57"/>
        <v/>
      </c>
      <c r="K97" s="24" t="str">
        <f t="shared" si="57"/>
        <v/>
      </c>
      <c r="N97" s="3160"/>
      <c r="O97" s="3162"/>
    </row>
    <row r="98" spans="1:15" ht="13.3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160"/>
      <c r="O98" s="3162"/>
    </row>
    <row r="99" spans="1:15" ht="13.3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160"/>
      <c r="O99" s="3162"/>
    </row>
    <row r="100" spans="1:15" ht="13.35" customHeight="1">
      <c r="A100" s="420" t="s">
        <v>3611</v>
      </c>
      <c r="B100" s="23">
        <f t="shared" ref="B100:K100" si="60">IF(AND(B89=0,B90=0,B91=0,B92=0),"",-B88/(B89+B90+B91+B92))</f>
        <v>1.1071367546088544</v>
      </c>
      <c r="C100" s="23">
        <f t="shared" si="60"/>
        <v>1.0914739634716688</v>
      </c>
      <c r="D100" s="23">
        <f t="shared" si="60"/>
        <v>1.074362098809255</v>
      </c>
      <c r="E100" s="23">
        <f t="shared" si="60"/>
        <v>1.0557402428960661</v>
      </c>
      <c r="F100" s="23">
        <f t="shared" si="60"/>
        <v>1.2530500974223322</v>
      </c>
      <c r="G100" s="23">
        <f t="shared" si="60"/>
        <v>1.2266246935884311</v>
      </c>
      <c r="H100" s="23">
        <f t="shared" si="60"/>
        <v>1.198122874494095</v>
      </c>
      <c r="I100" s="23">
        <f t="shared" si="60"/>
        <v>1.1674595298493773</v>
      </c>
      <c r="J100" s="23">
        <f t="shared" si="60"/>
        <v>1.1345407096947715</v>
      </c>
      <c r="K100" s="24">
        <f t="shared" si="60"/>
        <v>1.0992807625778132</v>
      </c>
      <c r="N100" s="3160"/>
      <c r="O100" s="3162"/>
    </row>
    <row r="101" spans="1:15" ht="13.35" customHeight="1">
      <c r="A101" s="20" t="s">
        <v>759</v>
      </c>
      <c r="B101" s="266">
        <f>IF(OR(B85="Choose mgt fee",B85="Choose One!"),"",(B78+B79+B80+B81+B82) / -(B84+B85+B86))</f>
        <v>1.2741842750911985</v>
      </c>
      <c r="C101" s="266">
        <f t="shared" ref="C101:K101" si="61">IF(OR(C85="Choose mgt fee",C85="Choose One!"),"",(C78+C79+C80+C81+C82) / -(C84+C85+C86))</f>
        <v>1.2625948893574241</v>
      </c>
      <c r="D101" s="266">
        <f t="shared" si="61"/>
        <v>1.2511033858854788</v>
      </c>
      <c r="E101" s="266">
        <f t="shared" si="61"/>
        <v>1.2397096903960272</v>
      </c>
      <c r="F101" s="266">
        <f t="shared" si="61"/>
        <v>1.2284123649904279</v>
      </c>
      <c r="G101" s="266">
        <f t="shared" si="61"/>
        <v>1.2172125716638553</v>
      </c>
      <c r="H101" s="266">
        <f t="shared" si="61"/>
        <v>1.2061076347420379</v>
      </c>
      <c r="I101" s="266">
        <f t="shared" si="61"/>
        <v>1.1950974728905035</v>
      </c>
      <c r="J101" s="266">
        <f t="shared" si="61"/>
        <v>1.1841808269634007</v>
      </c>
      <c r="K101" s="267">
        <f t="shared" si="61"/>
        <v>1.1733586634124968</v>
      </c>
      <c r="N101" s="3160"/>
      <c r="O101" s="3162"/>
    </row>
    <row r="102" spans="1:15" ht="13.35" customHeight="1">
      <c r="A102" s="420" t="s">
        <v>2583</v>
      </c>
      <c r="B102" s="2442">
        <f>IF('Part III-Sources of Funds'!$I$38="","",-FV('Part III-Sources of Funds'!$K$38/12,12,B89/12,K71))</f>
        <v>1596714.701959379</v>
      </c>
      <c r="C102" s="2442">
        <f>IF('Part III-Sources of Funds'!$I$38="","",-FV('Part III-Sources of Funds'!$K$38/12,12,C89/12,B102))</f>
        <v>1524374.8108694055</v>
      </c>
      <c r="D102" s="2442">
        <f>IF('Part III-Sources of Funds'!$I$38="","",-FV('Part III-Sources of Funds'!$K$38/12,12,D89/12,C102))</f>
        <v>1447190.1832994742</v>
      </c>
      <c r="E102" s="2442">
        <f>IF('Part III-Sources of Funds'!$I$38="","",-FV('Part III-Sources of Funds'!$K$38/12,12,E89/12,D102))</f>
        <v>1364836.358275058</v>
      </c>
      <c r="F102" s="2442">
        <f>IF('Part III-Sources of Funds'!$I$38="","",-FV('Part III-Sources of Funds'!$K$38/12,12,F89/12,E102))</f>
        <v>1276967.1450692632</v>
      </c>
      <c r="G102" s="2442">
        <f>IF('Part III-Sources of Funds'!$I$38="","",-FV('Part III-Sources of Funds'!$K$38/12,12,G89/12,F102))</f>
        <v>1183213.16792107</v>
      </c>
      <c r="H102" s="2442">
        <f>IF('Part III-Sources of Funds'!$I$38="","",-FV('Part III-Sources of Funds'!$K$38/12,12,H89/12,G102))</f>
        <v>1083180.3132906584</v>
      </c>
      <c r="I102" s="2442">
        <f>IF('Part III-Sources of Funds'!$I$38="","",-FV('Part III-Sources of Funds'!$K$38/12,12,I89/12,H102))</f>
        <v>976448.07312454667</v>
      </c>
      <c r="J102" s="2442">
        <f>IF('Part III-Sources of Funds'!$I$38="","",-FV('Part III-Sources of Funds'!$K$38/12,12,J89/12,I102))</f>
        <v>862567.77716613025</v>
      </c>
      <c r="K102" s="2442">
        <f>IF('Part III-Sources of Funds'!$I$38="","",-FV('Part III-Sources of Funds'!$K$38/12,12,K89/12,J102))</f>
        <v>741060.70688078098</v>
      </c>
      <c r="N102" s="3160"/>
      <c r="O102" s="3162"/>
    </row>
    <row r="103" spans="1:15" ht="13.35" customHeight="1">
      <c r="A103" s="420" t="s">
        <v>2584</v>
      </c>
      <c r="B103" s="2438">
        <f>IF('Part III-Sources of Funds'!$I$39="","",-FV('Part III-Sources of Funds'!$K$39/12,12,B90/12,K72))</f>
        <v>626655.28461139032</v>
      </c>
      <c r="C103" s="2438">
        <f>IF('Part III-Sources of Funds'!$I$39="","",-FV('Part III-Sources of Funds'!$K$39/12,12,C90/12,B103))</f>
        <v>596235.66583596251</v>
      </c>
      <c r="D103" s="2438">
        <f>IF('Part III-Sources of Funds'!$I$39="","",-FV('Part III-Sources of Funds'!$K$39/12,12,D90/12,C103))</f>
        <v>565510.45276011375</v>
      </c>
      <c r="E103" s="2438">
        <f>IF('Part III-Sources of Funds'!$I$39="","",-FV('Part III-Sources of Funds'!$K$39/12,12,E90/12,D103))</f>
        <v>534476.57539545477</v>
      </c>
      <c r="F103" s="2438">
        <f>IF('Part III-Sources of Funds'!$I$39="","",-FV('Part III-Sources of Funds'!$K$39/12,12,F90/12,E103))</f>
        <v>539845.90616699168</v>
      </c>
      <c r="G103" s="2438">
        <f>IF('Part III-Sources of Funds'!$I$39="","",-FV('Part III-Sources of Funds'!$K$39/12,12,G90/12,F103))</f>
        <v>545269.17702544981</v>
      </c>
      <c r="H103" s="2438">
        <f>IF('Part III-Sources of Funds'!$I$39="","",-FV('Part III-Sources of Funds'!$K$39/12,12,H90/12,G103))</f>
        <v>550746.92985083268</v>
      </c>
      <c r="I103" s="2438">
        <f>IF('Part III-Sources of Funds'!$I$39="","",-FV('Part III-Sources of Funds'!$K$39/12,12,I90/12,H103))</f>
        <v>556279.71196684893</v>
      </c>
      <c r="J103" s="2438">
        <f>IF('Part III-Sources of Funds'!$I$39="","",-FV('Part III-Sources of Funds'!$K$39/12,12,J90/12,I103))</f>
        <v>561868.07619559998</v>
      </c>
      <c r="K103" s="2438">
        <f>IF('Part III-Sources of Funds'!$I$39="","",-FV('Part III-Sources of Funds'!$K$39/12,12,K90/12,J103))</f>
        <v>567512.58091281634</v>
      </c>
      <c r="N103" s="3160"/>
      <c r="O103" s="3162"/>
    </row>
    <row r="104" spans="1:15" ht="13.35" customHeight="1">
      <c r="A104" s="420" t="s">
        <v>2585</v>
      </c>
      <c r="B104" s="2438" t="str">
        <f>IF('Part III-Sources of Funds'!$I$40="","",-FV('Part III-Sources of Funds'!$K$40/12,12,B91/12,K73))</f>
        <v/>
      </c>
      <c r="C104" s="2438" t="str">
        <f>IF('Part III-Sources of Funds'!$I$40="","",-FV('Part III-Sources of Funds'!$K$40/12,12,C91/12,B104))</f>
        <v/>
      </c>
      <c r="D104" s="2438" t="str">
        <f>IF('Part III-Sources of Funds'!$I$40="","",-FV('Part III-Sources of Funds'!$K$40/12,12,D91/12,C104))</f>
        <v/>
      </c>
      <c r="E104" s="2438" t="str">
        <f>IF('Part III-Sources of Funds'!$I$40="","",-FV('Part III-Sources of Funds'!$K$40/12,12,E91/12,D104))</f>
        <v/>
      </c>
      <c r="F104" s="2438" t="str">
        <f>IF('Part III-Sources of Funds'!$I$40="","",-FV('Part III-Sources of Funds'!$K$40/12,12,F91/12,E104))</f>
        <v/>
      </c>
      <c r="G104" s="2438" t="str">
        <f>IF('Part III-Sources of Funds'!$I$40="","",-FV('Part III-Sources of Funds'!$K$40/12,12,G91/12,F104))</f>
        <v/>
      </c>
      <c r="H104" s="2438" t="str">
        <f>IF('Part III-Sources of Funds'!$I$40="","",-FV('Part III-Sources of Funds'!$K$40/12,12,H91/12,G104))</f>
        <v/>
      </c>
      <c r="I104" s="2438" t="str">
        <f>IF('Part III-Sources of Funds'!$I$40="","",-FV('Part III-Sources of Funds'!$K$40/12,12,I91/12,H104))</f>
        <v/>
      </c>
      <c r="J104" s="2438" t="str">
        <f>IF('Part III-Sources of Funds'!$I$40="","",-FV('Part III-Sources of Funds'!$K$40/12,12,J91/12,I104))</f>
        <v/>
      </c>
      <c r="K104" s="2438" t="str">
        <f>IF('Part III-Sources of Funds'!$I$40="","",-FV('Part III-Sources of Funds'!$K$40/12,12,K91/12,J104))</f>
        <v/>
      </c>
      <c r="N104" s="3160"/>
      <c r="O104" s="3162"/>
    </row>
    <row r="105" spans="1:15" ht="13.35" customHeight="1">
      <c r="A105" s="20" t="s">
        <v>772</v>
      </c>
      <c r="B105" s="2441" t="str">
        <f>IF('Part III-Sources of Funds'!$I$41="","",-FV('Part III-Sources of Funds'!$K$41/12,12,B92/12,K74))</f>
        <v/>
      </c>
      <c r="C105" s="2441" t="str">
        <f>IF('Part III-Sources of Funds'!$I$41="","",-FV('Part III-Sources of Funds'!$K$41/12,12,C92/12,B105))</f>
        <v/>
      </c>
      <c r="D105" s="2441" t="str">
        <f>IF('Part III-Sources of Funds'!$I$41="","",-FV('Part III-Sources of Funds'!$K$41/12,12,D92/12,C105))</f>
        <v/>
      </c>
      <c r="E105" s="2441" t="str">
        <f>IF('Part III-Sources of Funds'!$I$41="","",-FV('Part III-Sources of Funds'!$K$41/12,12,E92/12,D105))</f>
        <v/>
      </c>
      <c r="F105" s="2441" t="str">
        <f>IF('Part III-Sources of Funds'!$I$41="","",-FV('Part III-Sources of Funds'!$K$41/12,12,F92/12,E105))</f>
        <v/>
      </c>
      <c r="G105" s="2441" t="str">
        <f>IF('Part III-Sources of Funds'!$I$41="","",-FV('Part III-Sources of Funds'!$K$41/12,12,G92/12,F105))</f>
        <v/>
      </c>
      <c r="H105" s="2441" t="str">
        <f>IF('Part III-Sources of Funds'!$I$41="","",-FV('Part III-Sources of Funds'!$K$41/12,12,H92/12,G105))</f>
        <v/>
      </c>
      <c r="I105" s="2441" t="str">
        <f>IF('Part III-Sources of Funds'!$I$41="","",-FV('Part III-Sources of Funds'!$K$41/12,12,I92/12,H105))</f>
        <v/>
      </c>
      <c r="J105" s="2441" t="str">
        <f>IF('Part III-Sources of Funds'!$I$41="","",-FV('Part III-Sources of Funds'!$K$41/12,12,J92/12,I105))</f>
        <v/>
      </c>
      <c r="K105" s="2441" t="str">
        <f>IF('Part III-Sources of Funds'!$I$41="","",-FV('Part III-Sources of Funds'!$K$41/12,12,K92/12,J105))</f>
        <v/>
      </c>
      <c r="N105" s="3164"/>
      <c r="O105" s="3166"/>
    </row>
    <row r="106" spans="1:15" ht="4.3499999999999996" customHeight="1">
      <c r="B106" s="16"/>
      <c r="C106" s="16"/>
      <c r="D106" s="16"/>
      <c r="E106" s="16"/>
      <c r="F106" s="16"/>
      <c r="G106" s="16"/>
      <c r="H106" s="16"/>
      <c r="I106" s="16"/>
      <c r="J106" s="16"/>
      <c r="K106" s="16"/>
    </row>
    <row r="107" spans="1:15" ht="14.4" customHeight="1">
      <c r="A107" s="12" t="s">
        <v>2448</v>
      </c>
      <c r="B107" s="14">
        <f>K77+1</f>
        <v>31</v>
      </c>
      <c r="C107" s="14">
        <f>B107+1</f>
        <v>32</v>
      </c>
      <c r="D107" s="14">
        <f>C107+1</f>
        <v>33</v>
      </c>
      <c r="E107" s="14">
        <f>D107+1</f>
        <v>34</v>
      </c>
      <c r="F107" s="14">
        <f>E107+1</f>
        <v>35</v>
      </c>
      <c r="G107" s="16"/>
      <c r="H107" s="16"/>
      <c r="I107" s="16"/>
      <c r="J107" s="16"/>
      <c r="K107" s="16"/>
      <c r="N107" s="2880" t="s">
        <v>3601</v>
      </c>
      <c r="O107" s="2880"/>
    </row>
    <row r="108" spans="1:15" ht="13.35" customHeight="1">
      <c r="A108" s="17" t="s">
        <v>2373</v>
      </c>
      <c r="B108" s="18">
        <f>$B$14*(1+$B$5)^(B107-1)</f>
        <v>1392038.6228297635</v>
      </c>
      <c r="C108" s="18">
        <f>$B$14*(1+$B$5)^(C107-1)</f>
        <v>1419879.3952863584</v>
      </c>
      <c r="D108" s="18">
        <f>$B$14*(1+$B$5)^(D107-1)</f>
        <v>1448276.983192086</v>
      </c>
      <c r="E108" s="18">
        <f>$B$14*(1+$B$5)^(E107-1)</f>
        <v>1477242.5228559277</v>
      </c>
      <c r="F108" s="625">
        <f>$B$14*(1+$B$5)^(F107-1)</f>
        <v>1506787.3733130463</v>
      </c>
      <c r="G108" s="16"/>
      <c r="H108" s="16"/>
      <c r="I108" s="16"/>
      <c r="J108" s="16"/>
      <c r="K108" s="16"/>
      <c r="N108" s="3155"/>
      <c r="O108" s="3157"/>
    </row>
    <row r="109" spans="1:15" ht="13.35" customHeight="1">
      <c r="A109" s="20" t="s">
        <v>1003</v>
      </c>
      <c r="B109" s="21">
        <f>$B$15*(1+$B$5)^(B107-1)</f>
        <v>27840.77245659527</v>
      </c>
      <c r="C109" s="21">
        <f>$B$15*(1+$B$5)^(C107-1)</f>
        <v>28397.58790572717</v>
      </c>
      <c r="D109" s="21">
        <f>$B$15*(1+$B$5)^(D107-1)</f>
        <v>28965.539663841719</v>
      </c>
      <c r="E109" s="21">
        <f>$B$15*(1+$B$5)^(E107-1)</f>
        <v>29544.850457118555</v>
      </c>
      <c r="F109" s="22">
        <f>$B$15*(1+$B$5)^(F107-1)</f>
        <v>30135.747466260924</v>
      </c>
      <c r="G109" s="16"/>
      <c r="H109" s="16"/>
      <c r="I109" s="16"/>
      <c r="J109" s="16"/>
      <c r="K109" s="16"/>
      <c r="N109" s="3160"/>
      <c r="O109" s="3162"/>
    </row>
    <row r="110" spans="1:15" ht="13.35" customHeight="1">
      <c r="A110" s="20" t="s">
        <v>2374</v>
      </c>
      <c r="B110" s="21">
        <f>-(B108+B109)*$B$8</f>
        <v>-99391.55767004512</v>
      </c>
      <c r="C110" s="21">
        <f>-(C108+C109)*$B$8</f>
        <v>-101379.388823446</v>
      </c>
      <c r="D110" s="21">
        <f>-(D108+D109)*$B$8</f>
        <v>-103406.97659991495</v>
      </c>
      <c r="E110" s="21">
        <f>-(E108+E109)*$B$8</f>
        <v>-105475.11613191325</v>
      </c>
      <c r="F110" s="22">
        <f>-(F108+F109)*$B$8</f>
        <v>-107584.61845455153</v>
      </c>
      <c r="G110" s="16"/>
      <c r="H110" s="16"/>
      <c r="I110" s="16"/>
      <c r="J110" s="16"/>
      <c r="K110" s="16"/>
      <c r="N110" s="3160"/>
      <c r="O110" s="3162"/>
    </row>
    <row r="111" spans="1:15" ht="13.35" customHeight="1">
      <c r="A111" s="20" t="s">
        <v>50</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160"/>
      <c r="O111" s="3162"/>
    </row>
    <row r="112" spans="1:15" ht="13.35" customHeight="1">
      <c r="A112" s="20" t="s">
        <v>51</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160"/>
      <c r="O112" s="3162"/>
    </row>
    <row r="113" spans="1:19" ht="13.35" customHeight="1">
      <c r="A113" s="420" t="s">
        <v>4607</v>
      </c>
      <c r="B113" s="21">
        <f>SUM(B108:B112)</f>
        <v>1320487.8376163135</v>
      </c>
      <c r="C113" s="21">
        <f>SUM(C108:C112)</f>
        <v>1346897.5943686394</v>
      </c>
      <c r="D113" s="21">
        <f>SUM(D108:D112)</f>
        <v>1373835.5462560127</v>
      </c>
      <c r="E113" s="21">
        <f>SUM(E108:E112)</f>
        <v>1401312.2571811331</v>
      </c>
      <c r="F113" s="22">
        <f>SUM(F108:F112)</f>
        <v>1429338.5023247558</v>
      </c>
      <c r="G113" s="16"/>
      <c r="H113" s="16"/>
      <c r="I113" s="16"/>
      <c r="J113" s="16"/>
      <c r="K113" s="16"/>
      <c r="N113" s="3160"/>
      <c r="O113" s="3162"/>
    </row>
    <row r="114" spans="1:19" ht="13.35" customHeight="1">
      <c r="A114" s="20" t="s">
        <v>604</v>
      </c>
      <c r="B114" s="21">
        <f>$B$20*(1+$B$6)^(B107-1)</f>
        <v>-1018780.3134576085</v>
      </c>
      <c r="C114" s="21">
        <f>$B$20*(1+$B$6)^(C107-1)</f>
        <v>-1049343.722861337</v>
      </c>
      <c r="D114" s="21">
        <f>$B$20*(1+$B$6)^(D107-1)</f>
        <v>-1080824.0345471767</v>
      </c>
      <c r="E114" s="21">
        <f>$B$20*(1+$B$6)^(E107-1)</f>
        <v>-1113248.7555835922</v>
      </c>
      <c r="F114" s="22">
        <f>$B$20*(1+$B$6)^(F107-1)</f>
        <v>-1146646.2182510998</v>
      </c>
      <c r="G114" s="16"/>
      <c r="H114" s="16"/>
      <c r="I114" s="16"/>
      <c r="J114" s="16"/>
      <c r="K114" s="16"/>
      <c r="N114" s="3160"/>
      <c r="O114" s="3162"/>
    </row>
    <row r="115" spans="1:19" ht="13.35" customHeight="1">
      <c r="A115" s="20" t="s">
        <v>1102</v>
      </c>
      <c r="B115" s="21">
        <f>IF(AND('Part VII-Pro Forma'!$G$8="Yes",'Part VII-Pro Forma'!$G$9="Yes"),"Choose One!",IF('Part VII-Pro Forma'!$G$8="Yes",ROUND((-$K$8*(1+'Part VII-Pro Forma'!$B$6)^('Part VII-Pro Forma'!B107-1)),),IF('Part VII-Pro Forma'!$G$9="Yes",ROUND((-(SUM(B108:B111)*'Part VII-Pro Forma'!$K$9)),),"Choose mgt fee")))</f>
        <v>-66024</v>
      </c>
      <c r="C115" s="21">
        <f>IF(AND('Part VII-Pro Forma'!$G$8="Yes",'Part VII-Pro Forma'!$G$9="Yes"),"Choose One!",IF('Part VII-Pro Forma'!$G$8="Yes",ROUND((-$K$8*(1+'Part VII-Pro Forma'!$B$6)^('Part VII-Pro Forma'!C107-1)),),IF('Part VII-Pro Forma'!$G$9="Yes",ROUND((-(SUM(C108:C111)*'Part VII-Pro Forma'!$K$9)),),"Choose mgt fee")))</f>
        <v>-67345</v>
      </c>
      <c r="D115" s="21">
        <f>IF(AND('Part VII-Pro Forma'!$G$8="Yes",'Part VII-Pro Forma'!$G$9="Yes"),"Choose One!",IF('Part VII-Pro Forma'!$G$8="Yes",ROUND((-$K$8*(1+'Part VII-Pro Forma'!$B$6)^('Part VII-Pro Forma'!D107-1)),),IF('Part VII-Pro Forma'!$G$9="Yes",ROUND((-(SUM(D108:D111)*'Part VII-Pro Forma'!$K$9)),),"Choose mgt fee")))</f>
        <v>-68692</v>
      </c>
      <c r="E115" s="21">
        <f>IF(AND('Part VII-Pro Forma'!$G$8="Yes",'Part VII-Pro Forma'!$G$9="Yes"),"Choose One!",IF('Part VII-Pro Forma'!$G$8="Yes",ROUND((-$K$8*(1+'Part VII-Pro Forma'!$B$6)^('Part VII-Pro Forma'!E107-1)),),IF('Part VII-Pro Forma'!$G$9="Yes",ROUND((-(SUM(E108:E111)*'Part VII-Pro Forma'!$K$9)),),"Choose mgt fee")))</f>
        <v>-70066</v>
      </c>
      <c r="F115" s="22">
        <f>IF(AND('Part VII-Pro Forma'!$G$8="Yes",'Part VII-Pro Forma'!$G$9="Yes"),"Choose One!",IF('Part VII-Pro Forma'!$G$8="Yes",ROUND((-$K$8*(1+'Part VII-Pro Forma'!$B$6)^('Part VII-Pro Forma'!F107-1)),),IF('Part VII-Pro Forma'!$G$9="Yes",ROUND((-(SUM(F108:F111)*'Part VII-Pro Forma'!$K$9)),),"Choose mgt fee")))</f>
        <v>-71467</v>
      </c>
      <c r="G115" s="16"/>
      <c r="H115" s="16"/>
      <c r="I115" s="16"/>
      <c r="J115" s="16"/>
      <c r="K115" s="16"/>
      <c r="N115" s="3160"/>
      <c r="O115" s="3162"/>
    </row>
    <row r="116" spans="1:19" ht="13.35" customHeight="1">
      <c r="A116" s="20" t="s">
        <v>1187</v>
      </c>
      <c r="B116" s="21">
        <f>$B$22*(1+$B$7)^(B107-1)</f>
        <v>-50972.511894982839</v>
      </c>
      <c r="C116" s="21">
        <f>$B$22*(1+$B$7)^(C107-1)</f>
        <v>-52501.687251832336</v>
      </c>
      <c r="D116" s="21">
        <f>$B$22*(1+$B$7)^(D107-1)</f>
        <v>-54076.737869387296</v>
      </c>
      <c r="E116" s="21">
        <f>$B$22*(1+$B$7)^(E107-1)</f>
        <v>-55699.040005468916</v>
      </c>
      <c r="F116" s="22">
        <f>$B$22*(1+$B$7)^(F107-1)</f>
        <v>-57370.011205632974</v>
      </c>
      <c r="G116" s="16"/>
      <c r="H116" s="16"/>
      <c r="I116" s="16"/>
      <c r="J116" s="16"/>
      <c r="K116" s="16"/>
      <c r="N116" s="3160"/>
      <c r="O116" s="3162"/>
    </row>
    <row r="117" spans="1:19" ht="13.35" customHeight="1">
      <c r="A117" s="420" t="s">
        <v>4606</v>
      </c>
      <c r="B117" s="2436">
        <f>IF(B107&lt;=+'Part VI-Revenues &amp; Expenses'!$K$243,-'Part VI-Revenues &amp; Expenses'!$H$243,0)</f>
        <v>0</v>
      </c>
      <c r="C117" s="2436">
        <f>IF(C107&lt;=+'Part VI-Revenues &amp; Expenses'!$K$243,-'Part VI-Revenues &amp; Expenses'!$H$243,0)</f>
        <v>0</v>
      </c>
      <c r="D117" s="2436">
        <f>IF(D107&lt;=+'Part VI-Revenues &amp; Expenses'!$K$243,-'Part VI-Revenues &amp; Expenses'!$H$243,0)</f>
        <v>0</v>
      </c>
      <c r="E117" s="2436">
        <f>IF(E107&lt;=+'Part VI-Revenues &amp; Expenses'!$K$243,-'Part VI-Revenues &amp; Expenses'!$H$243,0)</f>
        <v>0</v>
      </c>
      <c r="F117" s="2436">
        <f>IF(F107&lt;=+'Part VI-Revenues &amp; Expenses'!$K$243,-'Part VI-Revenues &amp; Expenses'!$H$243,0)</f>
        <v>0</v>
      </c>
      <c r="G117" s="16"/>
      <c r="H117" s="16"/>
      <c r="I117" s="16"/>
      <c r="J117" s="16"/>
      <c r="K117" s="16"/>
      <c r="N117" s="3160"/>
      <c r="O117" s="3162"/>
      <c r="Q117" s="971">
        <v>10</v>
      </c>
      <c r="R117" s="1091">
        <f>-SUM(B122:K122)</f>
        <v>0</v>
      </c>
      <c r="S117" s="1091">
        <f>SUM(B123:K123)+R117</f>
        <v>0</v>
      </c>
    </row>
    <row r="118" spans="1:19" ht="13.35" customHeight="1">
      <c r="A118" s="20" t="s">
        <v>1188</v>
      </c>
      <c r="B118" s="21">
        <f t="shared" ref="B118" si="62">SUM(B113:B117)</f>
        <v>184711.01226372219</v>
      </c>
      <c r="C118" s="21">
        <f t="shared" ref="C118" si="63">SUM(C113:C117)</f>
        <v>177707.18425547006</v>
      </c>
      <c r="D118" s="21">
        <f t="shared" ref="D118" si="64">SUM(D113:D117)</f>
        <v>170242.77383944878</v>
      </c>
      <c r="E118" s="21">
        <f t="shared" ref="E118" si="65">SUM(E113:E117)</f>
        <v>162298.46159207201</v>
      </c>
      <c r="F118" s="1611">
        <f>SUM(F113:F117)</f>
        <v>153855.27286802299</v>
      </c>
      <c r="G118" s="16"/>
      <c r="H118" s="16"/>
      <c r="I118" s="16"/>
      <c r="J118" s="16"/>
      <c r="K118" s="16"/>
      <c r="N118" s="3160"/>
      <c r="O118" s="3162"/>
    </row>
    <row r="119" spans="1:19" ht="13.35" customHeight="1">
      <c r="A119" s="20" t="str">
        <f>$A89</f>
        <v>Mortgage A</v>
      </c>
      <c r="B119" s="2437">
        <f>IF('Part III-Sources of Funds'!$P$38="", 0,-'Part III-Sources of Funds'!$P$38)</f>
        <v>-173996.44355885265</v>
      </c>
      <c r="C119" s="2437">
        <f>IF('Part III-Sources of Funds'!$P$38="", 0,-'Part III-Sources of Funds'!$P$38)</f>
        <v>-173996.44355885265</v>
      </c>
      <c r="D119" s="2437">
        <f>IF('Part III-Sources of Funds'!$P$38="", 0,-'Part III-Sources of Funds'!$P$38)</f>
        <v>-173996.44355885265</v>
      </c>
      <c r="E119" s="2437">
        <f>IF('Part III-Sources of Funds'!$P$38="", 0,-'Part III-Sources of Funds'!$P$38)</f>
        <v>-173996.44355885265</v>
      </c>
      <c r="F119" s="2437">
        <f>IF('Part III-Sources of Funds'!$P$38="", 0,-'Part III-Sources of Funds'!$P$38)</f>
        <v>-173996.44355885265</v>
      </c>
      <c r="G119" s="16"/>
      <c r="H119" s="16"/>
      <c r="I119" s="16"/>
      <c r="J119" s="16"/>
      <c r="K119" s="16"/>
      <c r="N119" s="3160"/>
      <c r="O119" s="3162"/>
    </row>
    <row r="120" spans="1:19" ht="13.35" customHeight="1">
      <c r="A120" s="20" t="str">
        <f>$A90</f>
        <v>Mortgage B</v>
      </c>
      <c r="B120" s="2438">
        <f>IF('Part III-Sources of Funds'!$P$39="", 0,-'Part III-Sources of Funds'!$P$39)</f>
        <v>0</v>
      </c>
      <c r="C120" s="2438">
        <f>IF('Part III-Sources of Funds'!$P$39="", 0,-'Part III-Sources of Funds'!$P$39)</f>
        <v>0</v>
      </c>
      <c r="D120" s="2438">
        <f>IF('Part III-Sources of Funds'!$P$39="", 0,-'Part III-Sources of Funds'!$P$39)</f>
        <v>0</v>
      </c>
      <c r="E120" s="2438">
        <f>IF('Part III-Sources of Funds'!$P$39="", 0,-'Part III-Sources of Funds'!$P$39)</f>
        <v>0</v>
      </c>
      <c r="F120" s="2438">
        <f>IF('Part III-Sources of Funds'!$P$39="", 0,-'Part III-Sources of Funds'!$P$39)</f>
        <v>0</v>
      </c>
      <c r="G120" s="16"/>
      <c r="H120" s="16"/>
      <c r="I120" s="16"/>
      <c r="J120" s="16"/>
      <c r="K120" s="16"/>
      <c r="N120" s="3160"/>
      <c r="O120" s="3162"/>
    </row>
    <row r="121" spans="1:19" ht="13.35" customHeight="1">
      <c r="A121" s="20" t="str">
        <f>$A91</f>
        <v>Mortgage C</v>
      </c>
      <c r="B121" s="2438">
        <f>IF('Part III-Sources of Funds'!$P$40="", 0,-'Part III-Sources of Funds'!$P$40)</f>
        <v>0</v>
      </c>
      <c r="C121" s="2438">
        <f>IF('Part III-Sources of Funds'!$P$40="", 0,-'Part III-Sources of Funds'!$P$40)</f>
        <v>0</v>
      </c>
      <c r="D121" s="2438">
        <f>IF('Part III-Sources of Funds'!$P$40="", 0,-'Part III-Sources of Funds'!$P$40)</f>
        <v>0</v>
      </c>
      <c r="E121" s="2438">
        <f>IF('Part III-Sources of Funds'!$P$40="", 0,-'Part III-Sources of Funds'!$P$40)</f>
        <v>0</v>
      </c>
      <c r="F121" s="2438">
        <f>IF('Part III-Sources of Funds'!$P$40="", 0,-'Part III-Sources of Funds'!$P$40)</f>
        <v>0</v>
      </c>
      <c r="G121" s="16"/>
      <c r="H121" s="16"/>
      <c r="I121" s="16"/>
      <c r="J121" s="16"/>
      <c r="K121" s="16"/>
      <c r="N121" s="3160"/>
      <c r="O121" s="3162"/>
    </row>
    <row r="122" spans="1:19" ht="13.35" customHeight="1">
      <c r="A122" s="20" t="str">
        <f>$A92</f>
        <v>D/S Other Source,not DDF</v>
      </c>
      <c r="B122" s="2438">
        <f>IF('Part III-Sources of Funds'!$P$41="", 0,-'Part III-Sources of Funds'!$P$41)</f>
        <v>0</v>
      </c>
      <c r="C122" s="2438">
        <f>IF('Part III-Sources of Funds'!$P$41="", 0,-'Part III-Sources of Funds'!$P$41)</f>
        <v>0</v>
      </c>
      <c r="D122" s="2438">
        <f>IF('Part III-Sources of Funds'!$P$41="", 0,-'Part III-Sources of Funds'!$P$41)</f>
        <v>0</v>
      </c>
      <c r="E122" s="2438">
        <f>IF('Part III-Sources of Funds'!$P$41="", 0,-'Part III-Sources of Funds'!$P$41)</f>
        <v>0</v>
      </c>
      <c r="F122" s="2438">
        <f>IF('Part III-Sources of Funds'!$P$41="", 0,-'Part III-Sources of Funds'!$P$41)</f>
        <v>0</v>
      </c>
      <c r="G122" s="16"/>
      <c r="H122" s="16"/>
      <c r="I122" s="16"/>
      <c r="J122" s="16"/>
      <c r="K122" s="16"/>
      <c r="N122" s="3160"/>
      <c r="O122" s="3162"/>
    </row>
    <row r="123" spans="1:19" ht="13.35" customHeight="1">
      <c r="A123" s="20" t="s">
        <v>752</v>
      </c>
      <c r="B123" s="2439"/>
      <c r="C123" s="2439"/>
      <c r="D123" s="2439"/>
      <c r="E123" s="2439"/>
      <c r="F123" s="2439"/>
      <c r="G123" s="16"/>
      <c r="H123" s="16"/>
      <c r="I123" s="16"/>
      <c r="J123" s="16"/>
      <c r="K123" s="16"/>
      <c r="N123" s="3160"/>
      <c r="O123" s="3162"/>
    </row>
    <row r="124" spans="1:19" ht="13.35" customHeight="1">
      <c r="A124" s="20" t="s">
        <v>1150</v>
      </c>
      <c r="B124" s="2441">
        <f>+K94</f>
        <v>-10000</v>
      </c>
      <c r="C124" s="2441">
        <f>+B124</f>
        <v>-10000</v>
      </c>
      <c r="D124" s="2441">
        <f>+C124</f>
        <v>-10000</v>
      </c>
      <c r="E124" s="2441">
        <f>+D124</f>
        <v>-10000</v>
      </c>
      <c r="F124" s="2441">
        <f>+E124</f>
        <v>-10000</v>
      </c>
      <c r="G124" s="16"/>
      <c r="H124" s="16"/>
      <c r="I124" s="16"/>
      <c r="J124" s="16"/>
      <c r="K124" s="16"/>
      <c r="N124" s="3160"/>
      <c r="O124" s="3162"/>
    </row>
    <row r="125" spans="1:19" ht="13.35" customHeight="1">
      <c r="A125" s="20" t="s">
        <v>1151</v>
      </c>
      <c r="B125" s="21">
        <f>SUM(B118:B124)</f>
        <v>714.56870486953994</v>
      </c>
      <c r="C125" s="21">
        <f>SUM(C118:C124)</f>
        <v>-6289.2593033825979</v>
      </c>
      <c r="D125" s="21">
        <f>SUM(D118:D124)</f>
        <v>-13753.669719403872</v>
      </c>
      <c r="E125" s="21">
        <f>SUM(E118:E124)</f>
        <v>-21697.981966780644</v>
      </c>
      <c r="F125" s="22">
        <f>SUM(F118:F124)</f>
        <v>-30141.170690829662</v>
      </c>
      <c r="G125" s="16"/>
      <c r="H125" s="16"/>
      <c r="I125" s="16"/>
      <c r="J125" s="16"/>
      <c r="K125" s="16"/>
      <c r="N125" s="3160"/>
      <c r="O125" s="3162"/>
    </row>
    <row r="126" spans="1:19" ht="13.35" customHeight="1">
      <c r="A126" s="20" t="str">
        <f>$A96</f>
        <v>DCR Mortgage A</v>
      </c>
      <c r="B126" s="23">
        <f>IF(B119=0,"",-B118/B119)</f>
        <v>1.0615792397000656</v>
      </c>
      <c r="C126" s="23">
        <f>IF(C119=0,"",-C118/C119)</f>
        <v>1.021326531857315</v>
      </c>
      <c r="D126" s="23">
        <f>IF(D119=0,"",-D118/D119)</f>
        <v>0.97842674457806245</v>
      </c>
      <c r="E126" s="23">
        <f>IF(E119=0,"",-E118/E119)</f>
        <v>0.93276884442282348</v>
      </c>
      <c r="F126" s="24">
        <f>IF(F119=0,"",-F118/F119)</f>
        <v>0.88424377947692301</v>
      </c>
      <c r="G126" s="16"/>
      <c r="H126" s="16"/>
      <c r="I126" s="16"/>
      <c r="J126" s="16"/>
      <c r="K126" s="16"/>
      <c r="N126" s="3160"/>
      <c r="O126" s="3162"/>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160"/>
      <c r="O127" s="3162"/>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160"/>
      <c r="O128" s="3162"/>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160"/>
      <c r="O129" s="3162"/>
    </row>
    <row r="130" spans="1:18" ht="13.35" customHeight="1">
      <c r="A130" s="420" t="s">
        <v>3611</v>
      </c>
      <c r="B130" s="23">
        <f>IF(AND(B119=0,B120=0,B121=0,B122=0),"",-B118/(B119+B120+B121+B122))</f>
        <v>1.0615792397000656</v>
      </c>
      <c r="C130" s="23">
        <f>IF(AND(C119=0,C120=0,C121=0,C122=0),"",-C118/(C119+C120+C121+C122))</f>
        <v>1.021326531857315</v>
      </c>
      <c r="D130" s="23">
        <f>IF(AND(D119=0,D120=0,D121=0,D122=0),"",-D118/(D119+D120+D121+D122))</f>
        <v>0.97842674457806245</v>
      </c>
      <c r="E130" s="23">
        <f>IF(AND(E119=0,E120=0,E121=0,E122=0),"",-E118/(E119+E120+E121+E122))</f>
        <v>0.93276884442282348</v>
      </c>
      <c r="F130" s="24">
        <f>IF(AND(F119=0,F120=0,F121=0,F122=0),"",-F118/(F119+F120+F121+F122))</f>
        <v>0.88424377947692301</v>
      </c>
      <c r="G130" s="16"/>
      <c r="H130" s="16"/>
      <c r="I130" s="16"/>
      <c r="J130" s="16"/>
      <c r="K130" s="16"/>
      <c r="N130" s="3160"/>
      <c r="O130" s="3162"/>
    </row>
    <row r="131" spans="1:18" ht="13.35" customHeight="1">
      <c r="A131" s="20" t="s">
        <v>759</v>
      </c>
      <c r="B131" s="266">
        <f>IF(OR(B115="Choose mgt fee",B115="Choose One!"),"",(B108+B109+B110+B111+B112) / -(B114+B115+B116))</f>
        <v>1.1626296717283173</v>
      </c>
      <c r="C131" s="266">
        <f>IF(OR(C115="Choose mgt fee",C115="Choose One!"),"",(C108+C109+C110+C111+C112) / -(C114+C115+C116))</f>
        <v>1.1519916539841182</v>
      </c>
      <c r="D131" s="266">
        <f>IF(OR(D115="Choose mgt fee",D115="Choose One!"),"",(D108+D109+D110+D111+D112) / -(D114+D115+D116))</f>
        <v>1.141445493642868</v>
      </c>
      <c r="E131" s="266">
        <f>IF(OR(E115="Choose mgt fee",E115="Choose One!"),"",(E108+E109+E110+E111+E112) / -(E114+E115+E116))</f>
        <v>1.1309900359220058</v>
      </c>
      <c r="F131" s="626">
        <f>IF(OR(F115="Choose mgt fee",F115="Choose One!"),"",(F108+F109+F110+F111+F112) / -(F114+F115+F116))</f>
        <v>1.1206250849206028</v>
      </c>
      <c r="G131" s="16"/>
      <c r="H131" s="16"/>
      <c r="I131" s="16"/>
      <c r="J131" s="16"/>
      <c r="K131" s="16"/>
      <c r="N131" s="3160"/>
      <c r="O131" s="3162"/>
    </row>
    <row r="132" spans="1:18" ht="13.35" customHeight="1">
      <c r="A132" s="420" t="s">
        <v>2583</v>
      </c>
      <c r="B132" s="2442">
        <f>IF('Part III-Sources of Funds'!$I$38="","",-FV('Part III-Sources of Funds'!$K$38/12,12,B119/12,K102))</f>
        <v>611416.08306701877</v>
      </c>
      <c r="C132" s="2442">
        <f>IF('Part III-Sources of Funds'!$I$38="","",-FV('Part III-Sources of Funds'!$K$38/12,12,C119/12,B132))</f>
        <v>473088.9186942759</v>
      </c>
      <c r="D132" s="2442">
        <f>IF('Part III-Sources of Funds'!$I$38="","",-FV('Part III-Sources of Funds'!$K$38/12,12,D119/12,C132))</f>
        <v>325497.72794123017</v>
      </c>
      <c r="E132" s="2442">
        <f>IF('Part III-Sources of Funds'!$I$38="","",-FV('Part III-Sources of Funds'!$K$38/12,12,E119/12,D132))</f>
        <v>168022.08180419242</v>
      </c>
      <c r="F132" s="2442">
        <f>IF('Part III-Sources of Funds'!$I$38="","",-FV('Part III-Sources of Funds'!$K$38/12,12,F119/12,E132))</f>
        <v>6.0128513723611832E-8</v>
      </c>
      <c r="G132" s="16"/>
      <c r="H132" s="16"/>
      <c r="I132" s="16"/>
      <c r="J132" s="16"/>
      <c r="K132" s="16"/>
      <c r="N132" s="3160"/>
      <c r="O132" s="3162"/>
    </row>
    <row r="133" spans="1:18" ht="13.35" customHeight="1">
      <c r="A133" s="420" t="s">
        <v>2584</v>
      </c>
      <c r="B133" s="2438">
        <f>IF('Part III-Sources of Funds'!$I$39="","",-FV('Part III-Sources of Funds'!$K$39/12,12,B120/12,K103))</f>
        <v>573213.79010364937</v>
      </c>
      <c r="C133" s="2438">
        <f>IF('Part III-Sources of Funds'!$I$39="","",-FV('Part III-Sources of Funds'!$K$39/12,12,C120/12,B133))</f>
        <v>578972.27341902314</v>
      </c>
      <c r="D133" s="2438">
        <f>IF('Part III-Sources of Funds'!$I$39="","",-FV('Part III-Sources of Funds'!$K$39/12,12,D120/12,C133))</f>
        <v>584788.60623255267</v>
      </c>
      <c r="E133" s="2438">
        <f>IF('Part III-Sources of Funds'!$I$39="","",-FV('Part III-Sources of Funds'!$K$39/12,12,E120/12,D133))</f>
        <v>590663.36969803378</v>
      </c>
      <c r="F133" s="2438">
        <f>IF('Part III-Sources of Funds'!$I$39="","",-FV('Part III-Sources of Funds'!$K$39/12,12,F120/12,E133))</f>
        <v>596597.15080751048</v>
      </c>
      <c r="G133" s="16"/>
      <c r="H133" s="16"/>
      <c r="I133" s="16"/>
      <c r="J133" s="16"/>
      <c r="K133" s="16"/>
      <c r="N133" s="3160"/>
      <c r="O133" s="3162"/>
    </row>
    <row r="134" spans="1:18" ht="13.35" customHeight="1">
      <c r="A134" s="420" t="s">
        <v>2585</v>
      </c>
      <c r="B134" s="2438" t="str">
        <f>IF('Part III-Sources of Funds'!$I$40="","",-FV('Part III-Sources of Funds'!$K$40/12,12,B121/12,K104))</f>
        <v/>
      </c>
      <c r="C134" s="2438" t="str">
        <f>IF('Part III-Sources of Funds'!$I$40="","",-FV('Part III-Sources of Funds'!$K$40/12,12,C121/12,B134))</f>
        <v/>
      </c>
      <c r="D134" s="2438" t="str">
        <f>IF('Part III-Sources of Funds'!$I$40="","",-FV('Part III-Sources of Funds'!$K$40/12,12,D121/12,C134))</f>
        <v/>
      </c>
      <c r="E134" s="2438" t="str">
        <f>IF('Part III-Sources of Funds'!$I$40="","",-FV('Part III-Sources of Funds'!$K$40/12,12,E121/12,D134))</f>
        <v/>
      </c>
      <c r="F134" s="2438" t="str">
        <f>IF('Part III-Sources of Funds'!$I$40="","",-FV('Part III-Sources of Funds'!$K$40/12,12,F121/12,E134))</f>
        <v/>
      </c>
      <c r="G134" s="16"/>
      <c r="H134" s="16"/>
      <c r="I134" s="16"/>
      <c r="J134" s="16"/>
      <c r="K134" s="16"/>
      <c r="N134" s="3160"/>
      <c r="O134" s="3162"/>
    </row>
    <row r="135" spans="1:18" ht="13.35" customHeight="1">
      <c r="A135" s="25" t="s">
        <v>772</v>
      </c>
      <c r="B135" s="2441" t="str">
        <f>IF('Part III-Sources of Funds'!$I$41="","",-FV('Part III-Sources of Funds'!$K$41/12,12,B122/12,K105))</f>
        <v/>
      </c>
      <c r="C135" s="2441" t="str">
        <f>IF('Part III-Sources of Funds'!$I$41="","",-FV('Part III-Sources of Funds'!$K$41/12,12,C122/12,B135))</f>
        <v/>
      </c>
      <c r="D135" s="2441" t="str">
        <f>IF('Part III-Sources of Funds'!$I$41="","",-FV('Part III-Sources of Funds'!$K$41/12,12,D122/12,C135))</f>
        <v/>
      </c>
      <c r="E135" s="2441" t="str">
        <f>IF('Part III-Sources of Funds'!$I$41="","",-FV('Part III-Sources of Funds'!$K$41/12,12,E122/12,D135))</f>
        <v/>
      </c>
      <c r="F135" s="2441" t="str">
        <f>IF('Part III-Sources of Funds'!$I$41="","",-FV('Part III-Sources of Funds'!$K$41/12,12,F122/12,E135))</f>
        <v/>
      </c>
      <c r="G135" s="16"/>
      <c r="H135" s="16"/>
      <c r="I135" s="16"/>
      <c r="J135" s="16"/>
      <c r="K135" s="16"/>
      <c r="N135" s="3164"/>
      <c r="O135" s="3166"/>
    </row>
    <row r="136" spans="1:18" ht="4.3499999999999996" customHeight="1"/>
    <row r="137" spans="1:18" ht="12" customHeight="1">
      <c r="A137" s="12" t="s">
        <v>561</v>
      </c>
      <c r="B137" s="12"/>
      <c r="G137" s="12" t="s">
        <v>1018</v>
      </c>
    </row>
    <row r="138" spans="1:18" ht="12" customHeight="1">
      <c r="B138" s="30"/>
    </row>
    <row r="139" spans="1:18" ht="409.5" customHeight="1">
      <c r="A139" s="2737" t="s">
        <v>4916</v>
      </c>
      <c r="B139" s="3242"/>
      <c r="C139" s="3242"/>
      <c r="D139" s="3242"/>
      <c r="E139" s="3242"/>
      <c r="F139" s="3243"/>
      <c r="G139" s="3244"/>
      <c r="H139" s="3245"/>
      <c r="I139" s="3245"/>
      <c r="J139" s="3245"/>
      <c r="K139" s="3246"/>
      <c r="N139" s="2819" t="s">
        <v>2655</v>
      </c>
      <c r="O139" s="2819"/>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XvE2ScxGe1kRP+ClKP9NWJ0VDT9iPqDlgNWFV11AacrOFWwaJpaPZvTLm9fmlnrR8na4N1OKc/jiTkk6XHuGw==" saltValue="z3ZVGvSbKw0Uv36+NOhZ/Q=="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57" zoomScale="140" zoomScaleNormal="140" workbookViewId="0">
      <selection activeCell="A457" sqref="A1:XFD1048576"/>
    </sheetView>
  </sheetViews>
  <sheetFormatPr defaultColWidth="9.109375" defaultRowHeight="13.2"/>
  <cols>
    <col min="1" max="1" width="5.109375" style="34" customWidth="1"/>
    <col min="2" max="2" width="2.5546875" style="34" customWidth="1"/>
    <col min="3" max="3" width="2.109375" style="34" customWidth="1"/>
    <col min="4" max="10" width="8.88671875" style="34" customWidth="1"/>
    <col min="11" max="11" width="7.5546875" style="34" customWidth="1"/>
    <col min="12" max="15" width="9.109375" style="34" customWidth="1"/>
    <col min="16" max="16" width="8.88671875" style="34" customWidth="1"/>
    <col min="17" max="17" width="9.109375" style="34" customWidth="1"/>
    <col min="18" max="30" width="9.109375" style="34"/>
    <col min="31" max="32" width="9.109375" style="127"/>
    <col min="33" max="16384" width="9.109375" style="34"/>
  </cols>
  <sheetData>
    <row r="1" spans="1:32" ht="14.1" customHeight="1">
      <c r="A1" s="2945" t="str">
        <f>CONCATENATE("PART EIGHT - THRESHOLD CRITERIA","  -  ",'Part I-Project Information'!$O$6," ",'Part I-Project Information'!$F$34,", ",'Part I-Project Information'!F38,", ",'Part I-Project Information'!J39," County")</f>
        <v>PART EIGHT - THRESHOLD CRITERIA  -  2019-063 Haven at South Atlanta, Atlanta, Fulton County</v>
      </c>
      <c r="B1" s="2946"/>
      <c r="C1" s="2946"/>
      <c r="D1" s="2946"/>
      <c r="E1" s="2946"/>
      <c r="F1" s="2946"/>
      <c r="G1" s="2946"/>
      <c r="H1" s="2946"/>
      <c r="I1" s="2946"/>
      <c r="J1" s="2946"/>
      <c r="K1" s="2946"/>
      <c r="L1" s="2946"/>
      <c r="M1" s="2946"/>
      <c r="N1" s="2946"/>
      <c r="O1" s="2946"/>
      <c r="P1" s="2946"/>
      <c r="Q1" s="2946"/>
      <c r="R1" s="3393" t="str">
        <f>'Part I-Project Information'!$B$6</f>
        <v>May 2019</v>
      </c>
      <c r="S1" s="3393"/>
    </row>
    <row r="2" spans="1:32" s="26" customFormat="1" ht="3" customHeight="1">
      <c r="R2" s="3393"/>
      <c r="S2" s="3393"/>
      <c r="AE2" s="116"/>
      <c r="AF2" s="116"/>
    </row>
    <row r="3" spans="1:32" ht="13.5" customHeight="1">
      <c r="A3" s="3381"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381"/>
      <c r="C3" s="3381"/>
      <c r="D3" s="3381"/>
      <c r="E3" s="3381"/>
      <c r="F3" s="3381"/>
      <c r="G3" s="3381"/>
      <c r="H3" s="3381"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381"/>
      <c r="J3" s="3381"/>
      <c r="K3" s="3381"/>
      <c r="L3" s="3381"/>
      <c r="M3" s="3381"/>
      <c r="N3" s="3382"/>
      <c r="O3" s="3383" t="s">
        <v>922</v>
      </c>
      <c r="P3" s="3384"/>
      <c r="Q3" s="1644" t="s">
        <v>1818</v>
      </c>
      <c r="R3" s="3393"/>
      <c r="S3" s="3393"/>
    </row>
    <row r="4" spans="1:32" ht="3" customHeight="1">
      <c r="A4" s="1748"/>
      <c r="B4" s="3385"/>
      <c r="C4" s="3385"/>
      <c r="D4" s="3385"/>
      <c r="E4" s="1748"/>
      <c r="F4" s="1748"/>
      <c r="G4" s="1748"/>
      <c r="H4" s="1748"/>
      <c r="I4" s="1748"/>
      <c r="J4" s="1748"/>
      <c r="K4" s="1748"/>
      <c r="L4" s="1748"/>
      <c r="M4" s="1748"/>
      <c r="N4" s="1748"/>
      <c r="P4" s="1748"/>
      <c r="Q4" s="1748"/>
      <c r="R4" s="3393"/>
      <c r="S4" s="3393"/>
    </row>
    <row r="5" spans="1:32" ht="11.1" hidden="1" customHeight="1">
      <c r="A5" s="1748"/>
      <c r="B5" s="1748"/>
      <c r="C5" s="1748"/>
      <c r="D5" s="1748"/>
      <c r="E5" s="1748"/>
      <c r="F5" s="1748"/>
      <c r="G5" s="1748"/>
      <c r="H5" s="1748"/>
      <c r="I5" s="1748"/>
      <c r="J5" s="1748"/>
      <c r="K5" s="1748"/>
      <c r="L5" s="1748"/>
      <c r="M5" s="1748"/>
      <c r="N5" s="1748"/>
      <c r="P5" s="1748"/>
      <c r="Q5" s="1748"/>
      <c r="R5" s="3393"/>
      <c r="S5" s="3393"/>
    </row>
    <row r="6" spans="1:32" ht="17.25" customHeight="1">
      <c r="A6" s="125" t="s">
        <v>557</v>
      </c>
      <c r="J6" s="3388" t="s">
        <v>3717</v>
      </c>
      <c r="K6" s="3388"/>
      <c r="L6" s="3388"/>
      <c r="M6" s="3388"/>
      <c r="N6" s="3388"/>
      <c r="O6" s="3389"/>
      <c r="P6" s="3386"/>
      <c r="Q6" s="3387"/>
      <c r="R6" s="3393"/>
      <c r="S6" s="3393"/>
    </row>
    <row r="7" spans="1:32" ht="12.6" customHeight="1">
      <c r="A7" s="126" t="s">
        <v>3386</v>
      </c>
      <c r="C7" s="127"/>
      <c r="D7" s="127"/>
      <c r="H7" s="1290"/>
      <c r="I7" s="1290"/>
      <c r="J7" s="1290"/>
      <c r="K7" s="1290"/>
      <c r="L7" s="1290"/>
      <c r="M7" s="1748"/>
      <c r="N7" s="1748"/>
    </row>
    <row r="8" spans="1:32" ht="24.6" customHeight="1">
      <c r="A8" s="3390" t="s">
        <v>1393</v>
      </c>
      <c r="B8" s="3391"/>
      <c r="C8" s="3391"/>
      <c r="D8" s="3391"/>
      <c r="E8" s="3391"/>
      <c r="F8" s="3391"/>
      <c r="G8" s="3391"/>
      <c r="H8" s="3391"/>
      <c r="I8" s="3391"/>
      <c r="J8" s="3391"/>
      <c r="K8" s="3391"/>
      <c r="L8" s="3391"/>
      <c r="M8" s="3391"/>
      <c r="N8" s="3391"/>
      <c r="O8" s="3391"/>
      <c r="P8" s="3391"/>
      <c r="Q8" s="3392"/>
      <c r="R8" s="3173" t="s">
        <v>2005</v>
      </c>
      <c r="S8" s="2538"/>
    </row>
    <row r="9" spans="1:32" ht="24.6" customHeight="1">
      <c r="A9" s="3378" t="s">
        <v>223</v>
      </c>
      <c r="B9" s="3379"/>
      <c r="C9" s="3379"/>
      <c r="D9" s="3379"/>
      <c r="E9" s="3379"/>
      <c r="F9" s="3379"/>
      <c r="G9" s="3379"/>
      <c r="H9" s="3379"/>
      <c r="I9" s="3379"/>
      <c r="J9" s="3379"/>
      <c r="K9" s="3379"/>
      <c r="L9" s="3379"/>
      <c r="M9" s="3379"/>
      <c r="N9" s="3379"/>
      <c r="O9" s="3379"/>
      <c r="P9" s="3379"/>
      <c r="Q9" s="3380"/>
      <c r="R9" s="3173"/>
      <c r="S9" s="2538"/>
    </row>
    <row r="10" spans="1:32" ht="24.6" customHeight="1">
      <c r="A10" s="3378" t="s">
        <v>1389</v>
      </c>
      <c r="B10" s="3379"/>
      <c r="C10" s="3379"/>
      <c r="D10" s="3379"/>
      <c r="E10" s="3379"/>
      <c r="F10" s="3379"/>
      <c r="G10" s="3379"/>
      <c r="H10" s="3379"/>
      <c r="I10" s="3379"/>
      <c r="J10" s="3379"/>
      <c r="K10" s="3379"/>
      <c r="L10" s="3379"/>
      <c r="M10" s="3379"/>
      <c r="N10" s="3379"/>
      <c r="O10" s="3379"/>
      <c r="P10" s="3379"/>
      <c r="Q10" s="3380"/>
      <c r="R10" s="3173"/>
      <c r="S10" s="2538"/>
    </row>
    <row r="11" spans="1:32" ht="24.6" customHeight="1">
      <c r="A11" s="3378" t="s">
        <v>1390</v>
      </c>
      <c r="B11" s="3379"/>
      <c r="C11" s="3379"/>
      <c r="D11" s="3379"/>
      <c r="E11" s="3379"/>
      <c r="F11" s="3379"/>
      <c r="G11" s="3379"/>
      <c r="H11" s="3379"/>
      <c r="I11" s="3379"/>
      <c r="J11" s="3379"/>
      <c r="K11" s="3379"/>
      <c r="L11" s="3379"/>
      <c r="M11" s="3379"/>
      <c r="N11" s="3379"/>
      <c r="O11" s="3379"/>
      <c r="P11" s="3379"/>
      <c r="Q11" s="3380"/>
      <c r="R11" s="3173"/>
      <c r="S11" s="2538"/>
    </row>
    <row r="12" spans="1:32" ht="24" customHeight="1">
      <c r="A12" s="3378" t="s">
        <v>1391</v>
      </c>
      <c r="B12" s="3379"/>
      <c r="C12" s="3379"/>
      <c r="D12" s="3379"/>
      <c r="E12" s="3379"/>
      <c r="F12" s="3379"/>
      <c r="G12" s="3379"/>
      <c r="H12" s="3379"/>
      <c r="I12" s="3379"/>
      <c r="J12" s="3379"/>
      <c r="K12" s="3379"/>
      <c r="L12" s="3379"/>
      <c r="M12" s="3379"/>
      <c r="N12" s="3379"/>
      <c r="O12" s="3379"/>
      <c r="P12" s="3379"/>
      <c r="Q12" s="3380"/>
      <c r="R12" s="1717"/>
      <c r="S12" s="1717"/>
    </row>
    <row r="13" spans="1:32" ht="11.25" customHeight="1">
      <c r="A13" s="3378" t="s">
        <v>1392</v>
      </c>
      <c r="B13" s="3379"/>
      <c r="C13" s="3379"/>
      <c r="D13" s="3379"/>
      <c r="E13" s="3379"/>
      <c r="F13" s="3379"/>
      <c r="G13" s="3379"/>
      <c r="H13" s="3379"/>
      <c r="I13" s="3379"/>
      <c r="J13" s="3379"/>
      <c r="K13" s="3379"/>
      <c r="L13" s="3379"/>
      <c r="M13" s="3379"/>
      <c r="N13" s="3379"/>
      <c r="O13" s="3379"/>
      <c r="P13" s="3379"/>
      <c r="Q13" s="3380"/>
      <c r="R13" s="1717"/>
      <c r="S13" s="1717"/>
    </row>
    <row r="14" spans="1:32" ht="11.25" customHeight="1">
      <c r="A14" s="3378" t="s">
        <v>1394</v>
      </c>
      <c r="B14" s="3379"/>
      <c r="C14" s="3379"/>
      <c r="D14" s="3379"/>
      <c r="E14" s="3379"/>
      <c r="F14" s="3379"/>
      <c r="G14" s="3379"/>
      <c r="H14" s="3379"/>
      <c r="I14" s="3379"/>
      <c r="J14" s="3379"/>
      <c r="K14" s="3379"/>
      <c r="L14" s="3379"/>
      <c r="M14" s="3379"/>
      <c r="N14" s="3379"/>
      <c r="O14" s="3379"/>
      <c r="P14" s="3379"/>
      <c r="Q14" s="3380"/>
    </row>
    <row r="15" spans="1:32" ht="11.25" customHeight="1">
      <c r="A15" s="3378" t="s">
        <v>1992</v>
      </c>
      <c r="B15" s="3379"/>
      <c r="C15" s="3379"/>
      <c r="D15" s="3379"/>
      <c r="E15" s="3379"/>
      <c r="F15" s="3379"/>
      <c r="G15" s="3379"/>
      <c r="H15" s="3379"/>
      <c r="I15" s="3379"/>
      <c r="J15" s="3379"/>
      <c r="K15" s="3379"/>
      <c r="L15" s="3379"/>
      <c r="M15" s="3379"/>
      <c r="N15" s="3379"/>
      <c r="O15" s="3379"/>
      <c r="P15" s="3379"/>
      <c r="Q15" s="3380"/>
      <c r="R15" s="3173" t="s">
        <v>2005</v>
      </c>
      <c r="S15" s="2803"/>
    </row>
    <row r="16" spans="1:32" ht="11.25" customHeight="1">
      <c r="A16" s="3378" t="s">
        <v>1993</v>
      </c>
      <c r="B16" s="3379"/>
      <c r="C16" s="3379"/>
      <c r="D16" s="3379"/>
      <c r="E16" s="3379"/>
      <c r="F16" s="3379"/>
      <c r="G16" s="3379"/>
      <c r="H16" s="3379"/>
      <c r="I16" s="3379"/>
      <c r="J16" s="3379"/>
      <c r="K16" s="3379"/>
      <c r="L16" s="3379"/>
      <c r="M16" s="3379"/>
      <c r="N16" s="3379"/>
      <c r="O16" s="3379"/>
      <c r="P16" s="3379"/>
      <c r="Q16" s="3380"/>
      <c r="R16" s="3173"/>
      <c r="S16" s="2803"/>
    </row>
    <row r="17" spans="1:31" ht="11.25" customHeight="1">
      <c r="A17" s="3378" t="s">
        <v>1994</v>
      </c>
      <c r="B17" s="3379"/>
      <c r="C17" s="3379"/>
      <c r="D17" s="3379"/>
      <c r="E17" s="3379"/>
      <c r="F17" s="3379"/>
      <c r="G17" s="3379"/>
      <c r="H17" s="3379"/>
      <c r="I17" s="3379"/>
      <c r="J17" s="3379"/>
      <c r="K17" s="3379"/>
      <c r="L17" s="3379"/>
      <c r="M17" s="3379"/>
      <c r="N17" s="3379"/>
      <c r="O17" s="3379"/>
      <c r="P17" s="3379"/>
      <c r="Q17" s="3380"/>
      <c r="R17" s="3173"/>
      <c r="S17" s="2803"/>
    </row>
    <row r="18" spans="1:31" ht="11.25" customHeight="1">
      <c r="A18" s="3378" t="s">
        <v>1995</v>
      </c>
      <c r="B18" s="3379"/>
      <c r="C18" s="3379"/>
      <c r="D18" s="3379"/>
      <c r="E18" s="3379"/>
      <c r="F18" s="3379"/>
      <c r="G18" s="3379"/>
      <c r="H18" s="3379"/>
      <c r="I18" s="3379"/>
      <c r="J18" s="3379"/>
      <c r="K18" s="3379"/>
      <c r="L18" s="3379"/>
      <c r="M18" s="3379"/>
      <c r="N18" s="3379"/>
      <c r="O18" s="3379"/>
      <c r="P18" s="3379"/>
      <c r="Q18" s="3380"/>
      <c r="R18" s="3173"/>
      <c r="S18" s="2803"/>
    </row>
    <row r="19" spans="1:31" ht="11.25" customHeight="1">
      <c r="A19" s="3378" t="s">
        <v>1996</v>
      </c>
      <c r="B19" s="3379"/>
      <c r="C19" s="3379"/>
      <c r="D19" s="3379"/>
      <c r="E19" s="3379"/>
      <c r="F19" s="3379"/>
      <c r="G19" s="3379"/>
      <c r="H19" s="3379"/>
      <c r="I19" s="3379"/>
      <c r="J19" s="3379"/>
      <c r="K19" s="3379"/>
      <c r="L19" s="3379"/>
      <c r="M19" s="3379"/>
      <c r="N19" s="3379"/>
      <c r="O19" s="3379"/>
      <c r="P19" s="3379"/>
      <c r="Q19" s="3380"/>
      <c r="R19" s="3173"/>
      <c r="S19" s="2803"/>
    </row>
    <row r="20" spans="1:31" ht="11.25" customHeight="1">
      <c r="A20" s="3378" t="s">
        <v>1997</v>
      </c>
      <c r="B20" s="3379"/>
      <c r="C20" s="3379"/>
      <c r="D20" s="3379"/>
      <c r="E20" s="3379"/>
      <c r="F20" s="3379"/>
      <c r="G20" s="3379"/>
      <c r="H20" s="3379"/>
      <c r="I20" s="3379"/>
      <c r="J20" s="3379"/>
      <c r="K20" s="3379"/>
      <c r="L20" s="3379"/>
      <c r="M20" s="3379"/>
      <c r="N20" s="3379"/>
      <c r="O20" s="3379"/>
      <c r="P20" s="3379"/>
      <c r="Q20" s="3380"/>
      <c r="R20" s="3173"/>
      <c r="S20" s="2803"/>
    </row>
    <row r="21" spans="1:31" ht="11.25" customHeight="1">
      <c r="A21" s="3378" t="s">
        <v>1998</v>
      </c>
      <c r="B21" s="3379"/>
      <c r="C21" s="3379"/>
      <c r="D21" s="3379"/>
      <c r="E21" s="3379"/>
      <c r="F21" s="3379"/>
      <c r="G21" s="3379"/>
      <c r="H21" s="3379"/>
      <c r="I21" s="3379"/>
      <c r="J21" s="3379"/>
      <c r="K21" s="3379"/>
      <c r="L21" s="3379"/>
      <c r="M21" s="3379"/>
      <c r="N21" s="3379"/>
      <c r="O21" s="3379"/>
      <c r="P21" s="3379"/>
      <c r="Q21" s="3380"/>
    </row>
    <row r="22" spans="1:31" ht="11.25" customHeight="1">
      <c r="A22" s="3378" t="s">
        <v>1999</v>
      </c>
      <c r="B22" s="3379"/>
      <c r="C22" s="3379"/>
      <c r="D22" s="3379"/>
      <c r="E22" s="3379"/>
      <c r="F22" s="3379"/>
      <c r="G22" s="3379"/>
      <c r="H22" s="3379"/>
      <c r="I22" s="3379"/>
      <c r="J22" s="3379"/>
      <c r="K22" s="3379"/>
      <c r="L22" s="3379"/>
      <c r="M22" s="3379"/>
      <c r="N22" s="3379"/>
      <c r="O22" s="3379"/>
      <c r="P22" s="3379"/>
      <c r="Q22" s="3380"/>
      <c r="R22" s="3173" t="s">
        <v>2005</v>
      </c>
      <c r="S22" s="2803"/>
    </row>
    <row r="23" spans="1:31" ht="11.25" customHeight="1">
      <c r="A23" s="3378" t="s">
        <v>2000</v>
      </c>
      <c r="B23" s="3379"/>
      <c r="C23" s="3379"/>
      <c r="D23" s="3379"/>
      <c r="E23" s="3379"/>
      <c r="F23" s="3379"/>
      <c r="G23" s="3379"/>
      <c r="H23" s="3379"/>
      <c r="I23" s="3379"/>
      <c r="J23" s="3379"/>
      <c r="K23" s="3379"/>
      <c r="L23" s="3379"/>
      <c r="M23" s="3379"/>
      <c r="N23" s="3379"/>
      <c r="O23" s="3379"/>
      <c r="P23" s="3379"/>
      <c r="Q23" s="3380"/>
      <c r="R23" s="3173"/>
      <c r="S23" s="2803"/>
    </row>
    <row r="24" spans="1:31" ht="11.25" customHeight="1">
      <c r="A24" s="3378" t="s">
        <v>2001</v>
      </c>
      <c r="B24" s="3379"/>
      <c r="C24" s="3379"/>
      <c r="D24" s="3379"/>
      <c r="E24" s="3379"/>
      <c r="F24" s="3379"/>
      <c r="G24" s="3379"/>
      <c r="H24" s="3379"/>
      <c r="I24" s="3379"/>
      <c r="J24" s="3379"/>
      <c r="K24" s="3379"/>
      <c r="L24" s="3379"/>
      <c r="M24" s="3379"/>
      <c r="N24" s="3379"/>
      <c r="O24" s="3379"/>
      <c r="P24" s="3379"/>
      <c r="Q24" s="3380"/>
      <c r="R24" s="3173"/>
      <c r="S24" s="2803"/>
    </row>
    <row r="25" spans="1:31" ht="11.25" customHeight="1">
      <c r="A25" s="3378" t="s">
        <v>2002</v>
      </c>
      <c r="B25" s="3379"/>
      <c r="C25" s="3379"/>
      <c r="D25" s="3379"/>
      <c r="E25" s="3379"/>
      <c r="F25" s="3379"/>
      <c r="G25" s="3379"/>
      <c r="H25" s="3379"/>
      <c r="I25" s="3379"/>
      <c r="J25" s="3379"/>
      <c r="K25" s="3379"/>
      <c r="L25" s="3379"/>
      <c r="M25" s="3379"/>
      <c r="N25" s="3379"/>
      <c r="O25" s="3379"/>
      <c r="P25" s="3379"/>
      <c r="Q25" s="3380"/>
      <c r="R25" s="3173"/>
      <c r="S25" s="2803"/>
    </row>
    <row r="26" spans="1:31" ht="11.25" customHeight="1">
      <c r="A26" s="3378" t="s">
        <v>2003</v>
      </c>
      <c r="B26" s="3379"/>
      <c r="C26" s="3379"/>
      <c r="D26" s="3379"/>
      <c r="E26" s="3379"/>
      <c r="F26" s="3379"/>
      <c r="G26" s="3379"/>
      <c r="H26" s="3379"/>
      <c r="I26" s="3379"/>
      <c r="J26" s="3379"/>
      <c r="K26" s="3379"/>
      <c r="L26" s="3379"/>
      <c r="M26" s="3379"/>
      <c r="N26" s="3379"/>
      <c r="O26" s="3379"/>
      <c r="P26" s="3379"/>
      <c r="Q26" s="3380"/>
      <c r="R26" s="3173"/>
      <c r="S26" s="2803"/>
    </row>
    <row r="27" spans="1:31" ht="11.25" customHeight="1">
      <c r="A27" s="3401" t="s">
        <v>2004</v>
      </c>
      <c r="B27" s="3402"/>
      <c r="C27" s="3402"/>
      <c r="D27" s="3402"/>
      <c r="E27" s="3402"/>
      <c r="F27" s="3402"/>
      <c r="G27" s="3402"/>
      <c r="H27" s="3402"/>
      <c r="I27" s="3402"/>
      <c r="J27" s="3402"/>
      <c r="K27" s="3402"/>
      <c r="L27" s="3402"/>
      <c r="M27" s="3402"/>
      <c r="N27" s="3402"/>
      <c r="O27" s="3402"/>
      <c r="P27" s="3402"/>
      <c r="Q27" s="3403"/>
      <c r="R27" s="3173"/>
      <c r="S27" s="2803"/>
    </row>
    <row r="28" spans="1:31" ht="6" customHeight="1"/>
    <row r="29" spans="1:31" ht="14.1" customHeight="1">
      <c r="A29" s="128" t="s">
        <v>605</v>
      </c>
      <c r="B29" s="129" t="s">
        <v>2614</v>
      </c>
      <c r="C29" s="130"/>
      <c r="D29" s="86"/>
      <c r="E29" s="86"/>
      <c r="F29" s="86"/>
      <c r="G29" s="86"/>
      <c r="I29" s="1760"/>
      <c r="J29" s="1760"/>
      <c r="K29" s="1760"/>
      <c r="L29" s="1748"/>
      <c r="M29" s="1748"/>
      <c r="O29" s="131" t="s">
        <v>1842</v>
      </c>
      <c r="P29" s="3261"/>
      <c r="Q29" s="3262"/>
    </row>
    <row r="30" spans="1:31" ht="3" customHeight="1"/>
    <row r="31" spans="1:31" ht="11.25" customHeight="1">
      <c r="B31" s="66" t="s">
        <v>3644</v>
      </c>
      <c r="C31" s="66"/>
      <c r="D31" s="66"/>
      <c r="E31" s="66"/>
      <c r="F31" s="66"/>
      <c r="G31" s="1760"/>
      <c r="H31" s="1760"/>
      <c r="I31" s="1760"/>
      <c r="J31" s="1760"/>
      <c r="K31" s="1748"/>
      <c r="L31" s="1748"/>
      <c r="M31" s="1748"/>
      <c r="N31" s="1748"/>
      <c r="O31" s="1748"/>
      <c r="P31" s="896"/>
      <c r="S31" s="157"/>
      <c r="T31" s="157"/>
    </row>
    <row r="32" spans="1:31" ht="53.1" customHeight="1">
      <c r="A32" s="3302" t="s">
        <v>4917</v>
      </c>
      <c r="B32" s="3303"/>
      <c r="C32" s="3303"/>
      <c r="D32" s="3303"/>
      <c r="E32" s="3303"/>
      <c r="F32" s="3303"/>
      <c r="G32" s="3303"/>
      <c r="H32" s="3303"/>
      <c r="I32" s="3303"/>
      <c r="J32" s="3303"/>
      <c r="K32" s="3303"/>
      <c r="L32" s="3303"/>
      <c r="M32" s="3303"/>
      <c r="N32" s="3303"/>
      <c r="O32" s="3303"/>
      <c r="P32" s="3303"/>
      <c r="Q32" s="3304"/>
      <c r="R32" s="445" t="s">
        <v>1239</v>
      </c>
      <c r="S32" s="446"/>
      <c r="T32" s="157"/>
      <c r="U32" s="135"/>
      <c r="V32" s="135"/>
      <c r="W32" s="135"/>
      <c r="X32" s="135"/>
      <c r="Y32" s="135"/>
      <c r="Z32" s="135"/>
      <c r="AA32" s="135"/>
      <c r="AB32" s="135"/>
      <c r="AC32" s="135"/>
      <c r="AD32" s="135"/>
      <c r="AE32" s="465"/>
    </row>
    <row r="33" spans="1:295" ht="11.25" customHeight="1">
      <c r="B33" s="136" t="s">
        <v>1841</v>
      </c>
      <c r="C33" s="137"/>
      <c r="D33" s="1751"/>
      <c r="E33" s="1751"/>
      <c r="F33" s="1751"/>
      <c r="G33" s="1751"/>
      <c r="H33" s="1751"/>
      <c r="I33" s="1751"/>
      <c r="J33" s="1751"/>
      <c r="K33" s="1751"/>
      <c r="L33" s="1751"/>
      <c r="M33" s="1751"/>
      <c r="N33" s="1751"/>
      <c r="O33" s="1751"/>
      <c r="P33" s="1751"/>
    </row>
    <row r="34" spans="1:295" ht="36" customHeight="1">
      <c r="A34" s="3404"/>
      <c r="B34" s="3404"/>
      <c r="C34" s="3404"/>
      <c r="D34" s="3404"/>
      <c r="E34" s="3404"/>
      <c r="F34" s="3404"/>
      <c r="G34" s="3404"/>
      <c r="H34" s="3404"/>
      <c r="I34" s="3404"/>
      <c r="J34" s="3404"/>
      <c r="K34" s="3404"/>
      <c r="L34" s="3404"/>
      <c r="M34" s="3404"/>
      <c r="N34" s="3404"/>
      <c r="O34" s="3404"/>
      <c r="P34" s="3404"/>
      <c r="Q34" s="3404"/>
      <c r="R34" s="445" t="s">
        <v>1239</v>
      </c>
      <c r="S34" s="446"/>
    </row>
    <row r="35" spans="1:295" ht="3" customHeight="1">
      <c r="B35" s="1760"/>
      <c r="C35" s="1751"/>
      <c r="D35" s="1751"/>
      <c r="E35" s="1751"/>
      <c r="F35" s="1751"/>
      <c r="G35" s="1751"/>
      <c r="H35" s="1751"/>
      <c r="I35" s="1751"/>
      <c r="J35" s="1751"/>
      <c r="K35" s="1751"/>
      <c r="L35" s="1751"/>
      <c r="M35" s="1751"/>
      <c r="N35" s="1751"/>
      <c r="O35" s="1751"/>
      <c r="P35" s="1751"/>
      <c r="Q35" s="1748"/>
    </row>
    <row r="36" spans="1:295" ht="12.75" customHeight="1">
      <c r="A36" s="1745" t="s">
        <v>729</v>
      </c>
      <c r="B36" s="3" t="s">
        <v>2672</v>
      </c>
      <c r="C36" s="3"/>
      <c r="D36" s="3"/>
      <c r="E36" s="1751"/>
      <c r="G36" s="611"/>
      <c r="H36" s="611"/>
      <c r="I36" s="611"/>
      <c r="J36" s="41"/>
      <c r="L36" s="612"/>
      <c r="M36" s="612"/>
      <c r="N36" s="612"/>
      <c r="O36" s="131" t="s">
        <v>1842</v>
      </c>
      <c r="P36" s="3261"/>
      <c r="Q36" s="3262"/>
    </row>
    <row r="37" spans="1:295" ht="11.25" customHeight="1">
      <c r="A37" s="3265"/>
      <c r="B37" s="3265"/>
      <c r="C37" s="3265"/>
      <c r="D37" s="3265"/>
      <c r="E37" s="3265"/>
      <c r="F37" s="1648"/>
      <c r="G37" s="3405" t="s">
        <v>2676</v>
      </c>
      <c r="H37" s="3406"/>
      <c r="I37" s="615"/>
      <c r="J37" s="41"/>
      <c r="K37" s="3407" t="s">
        <v>3541</v>
      </c>
      <c r="L37" s="3408"/>
      <c r="M37" s="3408"/>
      <c r="N37" s="3409"/>
    </row>
    <row r="38" spans="1:295" ht="11.25" customHeight="1">
      <c r="A38" s="3265"/>
      <c r="B38" s="3265"/>
      <c r="C38" s="3265"/>
      <c r="D38" s="3265"/>
      <c r="E38" s="3265"/>
      <c r="F38" s="1648"/>
      <c r="G38" s="3410" t="s">
        <v>343</v>
      </c>
      <c r="H38" s="3411"/>
      <c r="I38" s="615"/>
      <c r="J38" s="41"/>
      <c r="K38" s="3412" t="s">
        <v>3542</v>
      </c>
      <c r="L38" s="3413"/>
      <c r="M38" s="3413"/>
      <c r="N38" s="3414"/>
      <c r="P38" s="519" t="s">
        <v>2691</v>
      </c>
      <c r="Q38" s="2443"/>
    </row>
    <row r="39" spans="1:295" ht="4.5" customHeight="1">
      <c r="A39" s="1648"/>
      <c r="B39" s="1648"/>
      <c r="C39" s="1648"/>
      <c r="D39" s="1648"/>
      <c r="E39" s="1648"/>
      <c r="F39" s="1648"/>
      <c r="G39" s="214"/>
      <c r="H39" s="214"/>
      <c r="I39" s="214"/>
      <c r="J39" s="41"/>
      <c r="K39" s="3269"/>
      <c r="L39" s="3269"/>
      <c r="M39" s="3269"/>
      <c r="N39" s="3269"/>
    </row>
    <row r="40" spans="1:295" s="82" customFormat="1" ht="10.5" customHeight="1">
      <c r="D40" s="616" t="s">
        <v>2675</v>
      </c>
      <c r="E40" s="34"/>
      <c r="F40" s="617" t="s">
        <v>3387</v>
      </c>
      <c r="G40" s="3415" t="s">
        <v>4708</v>
      </c>
      <c r="H40" s="3415"/>
      <c r="I40" s="3415"/>
      <c r="J40" s="34"/>
      <c r="K40" s="617" t="s">
        <v>3387</v>
      </c>
      <c r="L40" s="3415" t="s">
        <v>4707</v>
      </c>
      <c r="M40" s="3415"/>
      <c r="N40" s="3415"/>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400" t="s">
        <v>3301</v>
      </c>
      <c r="B41" s="3400"/>
      <c r="C41" s="3400"/>
      <c r="D41" s="852" t="s">
        <v>558</v>
      </c>
      <c r="E41" s="853">
        <v>0</v>
      </c>
      <c r="F41" s="1646"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39" t="str">
        <f>CONCATENATE("x ", F41," units = ")</f>
        <v xml:space="preserve">x  units = </v>
      </c>
      <c r="I41" s="1647" t="str">
        <f>IF(F41="","",F41*G41)</f>
        <v/>
      </c>
      <c r="J41" s="41"/>
      <c r="K41" s="1646"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39" t="str">
        <f>CONCATENATE("x ", K41," units = ")</f>
        <v xml:space="preserve">x  units = </v>
      </c>
      <c r="N41" s="1647" t="str">
        <f>IF(K41="","",K41*L41)</f>
        <v/>
      </c>
      <c r="O41" s="1751"/>
      <c r="P41" s="3422" t="s">
        <v>3756</v>
      </c>
      <c r="Q41" s="3422"/>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400"/>
      <c r="B42" s="3400"/>
      <c r="C42" s="3400"/>
      <c r="D42" s="852" t="s">
        <v>2408</v>
      </c>
      <c r="E42" s="853">
        <v>1</v>
      </c>
      <c r="F42" s="1646"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39" t="str">
        <f>CONCATENATE("x ", F42," units = ")</f>
        <v xml:space="preserve">x  units = </v>
      </c>
      <c r="I42" s="1647" t="str">
        <f>IF(F42="","",F42*G42)</f>
        <v/>
      </c>
      <c r="J42" s="41"/>
      <c r="K42" s="1646"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39" t="str">
        <f>CONCATENATE("x ", K42," units = ")</f>
        <v xml:space="preserve">x  units = </v>
      </c>
      <c r="N42" s="1647" t="str">
        <f>IF(K42="","",K42*L42)</f>
        <v/>
      </c>
      <c r="O42" s="1751"/>
      <c r="P42" s="3416" t="str">
        <f>IF('Part I-Project Information'!$F$38="","",VLOOKUP('Part I-Project Information'!$J$39,'DCA Underwriting Assumptions'!$G$158:$N$317,8,FALSE))</f>
        <v>Atlanta</v>
      </c>
      <c r="Q42" s="3417"/>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400"/>
      <c r="B43" s="3400"/>
      <c r="C43" s="3400"/>
      <c r="D43" s="852" t="s">
        <v>2409</v>
      </c>
      <c r="E43" s="853">
        <v>2</v>
      </c>
      <c r="F43" s="1646"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39" t="str">
        <f>CONCATENATE("x ", F43," units = ")</f>
        <v xml:space="preserve">x  units = </v>
      </c>
      <c r="I43" s="1647" t="str">
        <f t="shared" ref="I43:I45" si="0">IF(F43="","",F43*G43)</f>
        <v/>
      </c>
      <c r="J43" s="41"/>
      <c r="K43" s="1646"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39" t="str">
        <f>CONCATENATE("x ", K43," units = ")</f>
        <v xml:space="preserve">x  units = </v>
      </c>
      <c r="N43" s="1647" t="str">
        <f t="shared" ref="N43:N45" si="1">IF(K43="","",K43*L43)</f>
        <v/>
      </c>
      <c r="O43" s="1751"/>
      <c r="P43" s="3418"/>
      <c r="Q43" s="3419"/>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400"/>
      <c r="B44" s="3400"/>
      <c r="C44" s="3400"/>
      <c r="D44" s="852" t="s">
        <v>2410</v>
      </c>
      <c r="E44" s="853">
        <v>3</v>
      </c>
      <c r="F44" s="1646"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39" t="str">
        <f>CONCATENATE("x ", F44," units = ")</f>
        <v xml:space="preserve">x  units = </v>
      </c>
      <c r="I44" s="1647" t="str">
        <f t="shared" si="0"/>
        <v/>
      </c>
      <c r="J44" s="41"/>
      <c r="K44" s="1646"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39" t="str">
        <f>CONCATENATE("x ", K44," units = ")</f>
        <v xml:space="preserve">x  units = </v>
      </c>
      <c r="N44" s="1647" t="str">
        <f t="shared" si="1"/>
        <v/>
      </c>
      <c r="O44" s="1751"/>
      <c r="P44" s="3263" t="s">
        <v>4706</v>
      </c>
      <c r="Q44" s="3263"/>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2411</v>
      </c>
      <c r="E45" s="853">
        <v>4</v>
      </c>
      <c r="F45" s="1646"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39" t="str">
        <f>CONCATENATE("x ", F45," units = ")</f>
        <v xml:space="preserve">x  units = </v>
      </c>
      <c r="I45" s="1647" t="str">
        <f t="shared" si="0"/>
        <v/>
      </c>
      <c r="J45" s="41"/>
      <c r="K45" s="1646"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39" t="str">
        <f>CONCATENATE("x ", K45," units = ")</f>
        <v xml:space="preserve">x  units = </v>
      </c>
      <c r="N45" s="1647" t="str">
        <f t="shared" si="1"/>
        <v/>
      </c>
      <c r="O45" s="1751"/>
      <c r="P45" s="3445">
        <f>'Part IV-A-Uses of Funds'!$G$132</f>
        <v>15872847</v>
      </c>
      <c r="Q45" s="3446"/>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3311</v>
      </c>
      <c r="E46" s="132"/>
      <c r="F46" s="1092">
        <f>SUM(F41:F45)</f>
        <v>0</v>
      </c>
      <c r="G46" s="618"/>
      <c r="H46" s="1093"/>
      <c r="I46" s="1094">
        <f>SUM(I41:I45)</f>
        <v>0</v>
      </c>
      <c r="J46" s="1095"/>
      <c r="K46" s="1092">
        <f>SUM(K41:K45)</f>
        <v>0</v>
      </c>
      <c r="L46" s="1095"/>
      <c r="M46" s="1093"/>
      <c r="N46" s="1094">
        <f>SUM(N41:N45)</f>
        <v>0</v>
      </c>
      <c r="O46" s="1751"/>
      <c r="P46" s="3447"/>
      <c r="Q46" s="3448"/>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1755"/>
      <c r="J47" s="127"/>
      <c r="K47" s="619"/>
      <c r="L47" s="127"/>
      <c r="M47" s="1751"/>
      <c r="N47" s="1755"/>
      <c r="O47" s="1751"/>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400" t="s">
        <v>3296</v>
      </c>
      <c r="B48" s="3400"/>
      <c r="C48" s="3400"/>
      <c r="D48" s="852" t="s">
        <v>558</v>
      </c>
      <c r="E48" s="857">
        <v>0</v>
      </c>
      <c r="F48" s="1646"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39" t="str">
        <f>CONCATENATE("x ", F48," units = ")</f>
        <v xml:space="preserve">x  units = </v>
      </c>
      <c r="I48" s="1647" t="str">
        <f>IF(F48="","",F48*G48)</f>
        <v/>
      </c>
      <c r="J48" s="41"/>
      <c r="K48" s="1646"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39" t="str">
        <f>CONCATENATE("x ", K48," units = ")</f>
        <v xml:space="preserve">x  units = </v>
      </c>
      <c r="N48" s="1647" t="str">
        <f>IF(K48="","",K48*L48)</f>
        <v/>
      </c>
      <c r="P48" s="1645"/>
      <c r="Q48" s="1645"/>
      <c r="S48" s="3423" t="s">
        <v>4411</v>
      </c>
      <c r="T48" s="3424"/>
      <c r="U48" s="3424"/>
      <c r="V48" s="3425"/>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400"/>
      <c r="B49" s="3400"/>
      <c r="C49" s="3400"/>
      <c r="D49" s="852" t="s">
        <v>2408</v>
      </c>
      <c r="E49" s="853">
        <v>1</v>
      </c>
      <c r="F49" s="1646"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39" t="str">
        <f>CONCATENATE("x ", F49," units = ")</f>
        <v xml:space="preserve">x  units = </v>
      </c>
      <c r="I49" s="1647" t="str">
        <f>IF(F49="","",F49*G49)</f>
        <v/>
      </c>
      <c r="J49" s="41"/>
      <c r="K49" s="1646"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39" t="str">
        <f>CONCATENATE("x ", K49," units = ")</f>
        <v xml:space="preserve">x  units = </v>
      </c>
      <c r="N49" s="1647" t="str">
        <f>IF(K49="","",K49*L49)</f>
        <v/>
      </c>
      <c r="P49" s="2969" t="s">
        <v>3905</v>
      </c>
      <c r="Q49" s="2969"/>
      <c r="S49" s="3426"/>
      <c r="T49" s="3427"/>
      <c r="U49" s="3427"/>
      <c r="V49" s="3428"/>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400"/>
      <c r="B50" s="3400"/>
      <c r="C50" s="3400"/>
      <c r="D50" s="852" t="s">
        <v>2409</v>
      </c>
      <c r="E50" s="853">
        <v>2</v>
      </c>
      <c r="F50" s="1646"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39" t="str">
        <f>CONCATENATE("x ", F50," units = ")</f>
        <v xml:space="preserve">x  units = </v>
      </c>
      <c r="I50" s="1647" t="str">
        <f t="shared" ref="I50:I52" si="2">IF(F50="","",F50*G50)</f>
        <v/>
      </c>
      <c r="J50" s="41"/>
      <c r="K50" s="1646"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39" t="str">
        <f>CONCATENATE("x ", K50," units = ")</f>
        <v xml:space="preserve">x  units = </v>
      </c>
      <c r="N50" s="1647" t="str">
        <f t="shared" ref="N50:N52" si="3">IF(K50="","",K50*L50)</f>
        <v/>
      </c>
      <c r="O50" s="564"/>
      <c r="P50" s="3434"/>
      <c r="Q50" s="3435"/>
      <c r="R50" s="407"/>
      <c r="S50" s="3426"/>
      <c r="T50" s="3427"/>
      <c r="U50" s="3427"/>
      <c r="V50" s="3428"/>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2410</v>
      </c>
      <c r="E51" s="853">
        <v>3</v>
      </c>
      <c r="F51" s="1646"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39" t="str">
        <f>CONCATENATE("x ", F51," units = ")</f>
        <v xml:space="preserve">x  units = </v>
      </c>
      <c r="I51" s="1647" t="str">
        <f t="shared" si="2"/>
        <v/>
      </c>
      <c r="J51" s="41"/>
      <c r="K51" s="1646"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39" t="str">
        <f>CONCATENATE("x ", K51," units = ")</f>
        <v xml:space="preserve">x  units = </v>
      </c>
      <c r="N51" s="1647" t="str">
        <f t="shared" si="3"/>
        <v/>
      </c>
      <c r="O51" s="564"/>
      <c r="P51" s="3436"/>
      <c r="Q51" s="3437"/>
      <c r="S51" s="3426"/>
      <c r="T51" s="3427"/>
      <c r="U51" s="3427"/>
      <c r="V51" s="3428"/>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2411</v>
      </c>
      <c r="E52" s="853">
        <v>4</v>
      </c>
      <c r="F52" s="1646"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39" t="str">
        <f>CONCATENATE("x ", F52," units = ")</f>
        <v xml:space="preserve">x  units = </v>
      </c>
      <c r="I52" s="1647" t="str">
        <f t="shared" si="2"/>
        <v/>
      </c>
      <c r="J52" s="41"/>
      <c r="K52" s="1646"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39" t="str">
        <f>CONCATENATE("x ", K52," units = ")</f>
        <v xml:space="preserve">x  units = </v>
      </c>
      <c r="N52" s="1647" t="str">
        <f t="shared" si="3"/>
        <v/>
      </c>
      <c r="O52" s="564"/>
      <c r="P52" s="3444" t="s">
        <v>3537</v>
      </c>
      <c r="Q52" s="3444"/>
      <c r="S52" s="3426"/>
      <c r="T52" s="3427"/>
      <c r="U52" s="3427"/>
      <c r="V52" s="3428"/>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3311</v>
      </c>
      <c r="E53" s="132"/>
      <c r="F53" s="1092">
        <f>SUM(F48:F52)</f>
        <v>0</v>
      </c>
      <c r="G53" s="618"/>
      <c r="H53" s="1093"/>
      <c r="I53" s="1094">
        <f>SUM(I48:I52)</f>
        <v>0</v>
      </c>
      <c r="J53" s="1095"/>
      <c r="K53" s="1092">
        <f>SUM(K48:K52)</f>
        <v>0</v>
      </c>
      <c r="L53" s="1095"/>
      <c r="M53" s="1093"/>
      <c r="N53" s="1094">
        <f>SUM(N48:N52)</f>
        <v>0</v>
      </c>
      <c r="O53" s="564"/>
      <c r="P53" s="1100" t="s">
        <v>3189</v>
      </c>
      <c r="Q53" s="1100" t="s">
        <v>253</v>
      </c>
      <c r="R53" s="407"/>
      <c r="S53" s="3426"/>
      <c r="T53" s="3427"/>
      <c r="U53" s="3427"/>
      <c r="V53" s="3428"/>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1755"/>
      <c r="J54" s="34"/>
      <c r="K54" s="619"/>
      <c r="L54" s="34"/>
      <c r="M54" s="1751"/>
      <c r="N54" s="1755"/>
      <c r="O54" s="564"/>
      <c r="R54" s="407"/>
      <c r="S54" s="3426"/>
      <c r="T54" s="3427"/>
      <c r="U54" s="3427"/>
      <c r="V54" s="3428"/>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3297</v>
      </c>
      <c r="B55" s="575"/>
      <c r="C55" s="1"/>
      <c r="D55" s="852" t="s">
        <v>558</v>
      </c>
      <c r="E55" s="853">
        <v>0</v>
      </c>
      <c r="F55" s="1646"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39" t="str">
        <f>CONCATENATE("x ", F55," units = ")</f>
        <v xml:space="preserve">x  units = </v>
      </c>
      <c r="I55" s="1647" t="str">
        <f>IF(F55="","",F55*G55)</f>
        <v/>
      </c>
      <c r="J55" s="41"/>
      <c r="K55" s="1646"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39" t="str">
        <f>CONCATENATE("x ", K55," units = ")</f>
        <v xml:space="preserve">x  units = </v>
      </c>
      <c r="N55" s="1647" t="str">
        <f>IF(K55="","",K55*L55)</f>
        <v/>
      </c>
      <c r="O55" s="564"/>
      <c r="P55" s="1099">
        <f>'Part IX Scoring Criteria'!O420</f>
        <v>0</v>
      </c>
      <c r="Q55" s="1099">
        <f>'Part IX Scoring Criteria'!P420</f>
        <v>0</v>
      </c>
      <c r="R55" s="407"/>
      <c r="S55" s="3426"/>
      <c r="T55" s="3427"/>
      <c r="U55" s="3427"/>
      <c r="V55" s="3428"/>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2408</v>
      </c>
      <c r="E56" s="853">
        <v>1</v>
      </c>
      <c r="F56" s="1646">
        <f>IF('Part VI-Revenues &amp; Expenses'!$K$139 =0,"",'Part VI-Revenues &amp; Expenses'!$K$139)</f>
        <v>32</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39" t="str">
        <f>CONCATENATE("x ", F56," units = ")</f>
        <v xml:space="preserve">x 32 units = </v>
      </c>
      <c r="I56" s="1647">
        <f>IF(F56="","",F56*G56)</f>
        <v>4992128</v>
      </c>
      <c r="J56" s="41"/>
      <c r="K56" s="1646"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39" t="str">
        <f>CONCATENATE("x ", K56," units = ")</f>
        <v xml:space="preserve">x  units = </v>
      </c>
      <c r="N56" s="1647" t="str">
        <f>IF(K56="","",K56*L56)</f>
        <v/>
      </c>
      <c r="P56" s="3444" t="s">
        <v>3538</v>
      </c>
      <c r="Q56" s="3444"/>
      <c r="S56" s="3426"/>
      <c r="T56" s="3427"/>
      <c r="U56" s="3427"/>
      <c r="V56" s="3428"/>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2409</v>
      </c>
      <c r="E57" s="853">
        <v>2</v>
      </c>
      <c r="F57" s="1646">
        <f>IF('Part VI-Revenues &amp; Expenses'!$L$139 =0,"",'Part VI-Revenues &amp; Expenses'!$L$139)</f>
        <v>42</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39" t="str">
        <f>CONCATENATE("x ", F57," units = ")</f>
        <v xml:space="preserve">x 42 units = </v>
      </c>
      <c r="I57" s="1647">
        <f t="shared" ref="I57:I59" si="4">IF(F57="","",F57*G57)</f>
        <v>8288532</v>
      </c>
      <c r="J57" s="41"/>
      <c r="K57" s="1646"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39" t="str">
        <f>CONCATENATE("x ", K57," units = ")</f>
        <v xml:space="preserve">x  units = </v>
      </c>
      <c r="N57" s="1647" t="str">
        <f t="shared" ref="N57:N59" si="5">IF(K57="","",K57*L57)</f>
        <v/>
      </c>
      <c r="P57" s="1100" t="s">
        <v>3189</v>
      </c>
      <c r="Q57" s="1100" t="s">
        <v>253</v>
      </c>
      <c r="S57" s="3426"/>
      <c r="T57" s="3427"/>
      <c r="U57" s="3427"/>
      <c r="V57" s="3428"/>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2410</v>
      </c>
      <c r="E58" s="853">
        <v>3</v>
      </c>
      <c r="F58" s="1646">
        <f>IF('Part VI-Revenues &amp; Expenses'!$M$139 =0,"",'Part VI-Revenues &amp; Expenses'!$M$139)</f>
        <v>10</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39" t="str">
        <f>CONCATENATE("x ", F58," units = ")</f>
        <v xml:space="preserve">x 10 units = </v>
      </c>
      <c r="I58" s="1647">
        <f t="shared" si="4"/>
        <v>2599090</v>
      </c>
      <c r="J58" s="41"/>
      <c r="K58" s="1646"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39" t="str">
        <f>CONCATENATE("x ", K58," units = ")</f>
        <v xml:space="preserve">x  units = </v>
      </c>
      <c r="N58" s="1647" t="str">
        <f t="shared" si="5"/>
        <v/>
      </c>
      <c r="O58" s="564"/>
      <c r="P58" s="1099">
        <f>'Part IX Scoring Criteria'!O71</f>
        <v>3</v>
      </c>
      <c r="Q58" s="1099">
        <f>'Part IX Scoring Criteria'!P71</f>
        <v>0</v>
      </c>
      <c r="S58" s="3429"/>
      <c r="T58" s="3430"/>
      <c r="U58" s="3430"/>
      <c r="V58" s="3431"/>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2411</v>
      </c>
      <c r="E59" s="853">
        <v>4</v>
      </c>
      <c r="F59" s="1646"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39" t="str">
        <f>CONCATENATE("x ", F59," units = ")</f>
        <v xml:space="preserve">x  units = </v>
      </c>
      <c r="I59" s="1647" t="str">
        <f t="shared" si="4"/>
        <v/>
      </c>
      <c r="J59" s="41"/>
      <c r="K59" s="1646"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39" t="str">
        <f>CONCATENATE("x ", K59," units = ")</f>
        <v xml:space="preserve">x  units = </v>
      </c>
      <c r="N59" s="1647" t="str">
        <f t="shared" si="5"/>
        <v/>
      </c>
      <c r="O59" s="564"/>
      <c r="P59" s="3394" t="s">
        <v>2724</v>
      </c>
      <c r="Q59" s="3394"/>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3311</v>
      </c>
      <c r="E60" s="132"/>
      <c r="F60" s="1092">
        <f>SUM(F55:F59)</f>
        <v>84</v>
      </c>
      <c r="G60" s="618"/>
      <c r="H60" s="1093"/>
      <c r="I60" s="1094">
        <f>SUM(I55:I59)</f>
        <v>15879750</v>
      </c>
      <c r="J60" s="1095"/>
      <c r="K60" s="1092">
        <f>SUM(K55:K59)</f>
        <v>0</v>
      </c>
      <c r="L60" s="1095"/>
      <c r="M60" s="1093"/>
      <c r="N60" s="1094">
        <f>SUM(N55:N59)</f>
        <v>0</v>
      </c>
      <c r="O60" s="564"/>
      <c r="P60" s="3394"/>
      <c r="Q60" s="3394"/>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1755"/>
      <c r="J61" s="34"/>
      <c r="K61" s="619"/>
      <c r="L61" s="34"/>
      <c r="M61" s="1751"/>
      <c r="N61" s="1755"/>
      <c r="O61" s="564"/>
      <c r="P61" s="3394"/>
      <c r="Q61" s="3394"/>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3298</v>
      </c>
      <c r="B62" s="7"/>
      <c r="C62" s="1"/>
      <c r="D62" s="852" t="s">
        <v>558</v>
      </c>
      <c r="E62" s="853">
        <v>0</v>
      </c>
      <c r="F62" s="1646"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39" t="str">
        <f>CONCATENATE("x ", F62," units = ")</f>
        <v xml:space="preserve">x  units = </v>
      </c>
      <c r="I62" s="1647" t="str">
        <f>IF(F62="","",F62*G62)</f>
        <v/>
      </c>
      <c r="J62" s="41"/>
      <c r="K62" s="1646"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39" t="str">
        <f>CONCATENATE("x ", K62," units = ")</f>
        <v xml:space="preserve">x  units = </v>
      </c>
      <c r="N62" s="1647" t="str">
        <f>IF(K62="","",K62*L62)</f>
        <v/>
      </c>
      <c r="O62" s="564"/>
      <c r="P62" s="3395"/>
      <c r="Q62" s="3395"/>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2408</v>
      </c>
      <c r="E63" s="853">
        <v>1</v>
      </c>
      <c r="F63" s="1646" t="str">
        <f>IF('Part VI-Revenues &amp; Expenses'!$K$141 =0,"",'Part VI-Revenues &amp; Expenses'!$K$141)</f>
        <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39" t="str">
        <f>CONCATENATE("x ", F63," units = ")</f>
        <v xml:space="preserve">x  units = </v>
      </c>
      <c r="I63" s="1647" t="str">
        <f>IF(F63="","",F63*G63)</f>
        <v/>
      </c>
      <c r="J63" s="41"/>
      <c r="K63" s="1646"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39" t="str">
        <f>CONCATENATE("x ", K63," units = ")</f>
        <v xml:space="preserve">x  units = </v>
      </c>
      <c r="N63" s="1647" t="str">
        <f>IF(K63="","",K63*L63)</f>
        <v/>
      </c>
      <c r="O63" s="564"/>
      <c r="P63" s="3396">
        <f>IF(P50&gt;1,P50, IF(OR('Part IX Scoring Criteria'!$O$71='Part IX Scoring Criteria'!$M$71,AND('Part IV-A-Uses of Funds'!$T$165="Yes",'Part IX Scoring Criteria'!$O$420&gt;0)),H69+M69,H69))</f>
        <v>15879750</v>
      </c>
      <c r="Q63" s="3397"/>
      <c r="R63" s="3441"/>
      <c r="S63" s="3442"/>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2409</v>
      </c>
      <c r="E64" s="853">
        <v>2</v>
      </c>
      <c r="F64" s="1646" t="str">
        <f>IF('Part VI-Revenues &amp; Expenses'!$L$141 =0,"",'Part VI-Revenues &amp; Expenses'!$L$141)</f>
        <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39" t="str">
        <f>CONCATENATE("x ", F64," units = ")</f>
        <v xml:space="preserve">x  units = </v>
      </c>
      <c r="I64" s="1647" t="str">
        <f t="shared" ref="I64:I66" si="6">IF(F64="","",F64*G64)</f>
        <v/>
      </c>
      <c r="J64" s="41"/>
      <c r="K64" s="1646"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39" t="str">
        <f>CONCATENATE("x ", K64," units = ")</f>
        <v xml:space="preserve">x  units = </v>
      </c>
      <c r="N64" s="1647" t="str">
        <f t="shared" ref="N64:N66" si="7">IF(K64="","",K64*L64)</f>
        <v/>
      </c>
      <c r="P64" s="3398"/>
      <c r="Q64" s="3399"/>
      <c r="R64" s="3441"/>
      <c r="S64" s="3442"/>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2410</v>
      </c>
      <c r="E65" s="853">
        <v>3</v>
      </c>
      <c r="F65" s="1646"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39" t="str">
        <f>CONCATENATE("x ", F65," units = ")</f>
        <v xml:space="preserve">x  units = </v>
      </c>
      <c r="I65" s="1647" t="str">
        <f t="shared" si="6"/>
        <v/>
      </c>
      <c r="J65" s="41"/>
      <c r="K65" s="1646"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39" t="str">
        <f>CONCATENATE("x ", K65," units = ")</f>
        <v xml:space="preserve">x  units = </v>
      </c>
      <c r="N65" s="1647" t="str">
        <f t="shared" si="7"/>
        <v/>
      </c>
      <c r="P65" s="3438" t="s">
        <v>4031</v>
      </c>
      <c r="Q65" s="3438"/>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2411</v>
      </c>
      <c r="E66" s="853">
        <v>4</v>
      </c>
      <c r="F66" s="1646"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39" t="str">
        <f>CONCATENATE("x ", F66," units = ")</f>
        <v xml:space="preserve">x  units = </v>
      </c>
      <c r="I66" s="1647" t="str">
        <f t="shared" si="6"/>
        <v/>
      </c>
      <c r="J66" s="41"/>
      <c r="K66" s="1646"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39" t="str">
        <f>CONCATENATE("x ", K66," units = ")</f>
        <v xml:space="preserve">x  units = </v>
      </c>
      <c r="N66" s="1647" t="str">
        <f t="shared" si="7"/>
        <v/>
      </c>
      <c r="O66" s="564"/>
      <c r="P66" s="3439"/>
      <c r="Q66" s="3439"/>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3311</v>
      </c>
      <c r="E67" s="132"/>
      <c r="F67" s="1092">
        <f>SUM(F62:F66)</f>
        <v>0</v>
      </c>
      <c r="G67" s="618"/>
      <c r="H67" s="1093"/>
      <c r="I67" s="1096">
        <f>SUM(I62:I66)</f>
        <v>0</v>
      </c>
      <c r="J67" s="1095"/>
      <c r="K67" s="1092">
        <f>SUM(K62:K66)</f>
        <v>0</v>
      </c>
      <c r="L67" s="1095"/>
      <c r="M67" s="1093"/>
      <c r="N67" s="1096">
        <f>SUM(N62:N66)</f>
        <v>0</v>
      </c>
      <c r="O67" s="564"/>
      <c r="P67" s="3439"/>
      <c r="Q67" s="3439"/>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1752"/>
      <c r="O68" s="564"/>
      <c r="P68" s="3439"/>
      <c r="Q68" s="3439"/>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3312</v>
      </c>
      <c r="B69" s="1"/>
      <c r="C69" s="1"/>
      <c r="D69" s="90"/>
      <c r="E69" s="110"/>
      <c r="F69" s="609">
        <f>F46+F53+F60+F67</f>
        <v>84</v>
      </c>
      <c r="G69" s="331"/>
      <c r="H69" s="3443">
        <f>I46+I53+I60+I67</f>
        <v>15879750</v>
      </c>
      <c r="I69" s="3443"/>
      <c r="J69" s="3443"/>
      <c r="K69" s="609">
        <f>K46+K53+K60+K67</f>
        <v>0</v>
      </c>
      <c r="L69" s="610"/>
      <c r="M69" s="3443">
        <f>N46+N53+N60+N67</f>
        <v>0</v>
      </c>
      <c r="N69" s="3443"/>
      <c r="O69" s="3443"/>
      <c r="P69" s="3439"/>
      <c r="Q69" s="3439"/>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3644</v>
      </c>
      <c r="D70" s="95"/>
      <c r="E70" s="95"/>
      <c r="F70" s="95"/>
      <c r="G70" s="95"/>
      <c r="H70" s="39"/>
      <c r="I70" s="1760"/>
      <c r="J70" s="1760"/>
      <c r="K70" s="136" t="s">
        <v>1841</v>
      </c>
      <c r="L70" s="1748"/>
      <c r="M70" s="1748"/>
      <c r="N70" s="1748"/>
      <c r="O70" s="1748"/>
      <c r="P70" s="3440"/>
      <c r="Q70" s="3440"/>
    </row>
    <row r="71" spans="1:295" ht="10.5" customHeight="1">
      <c r="A71" s="3302" t="s">
        <v>4918</v>
      </c>
      <c r="B71" s="3303"/>
      <c r="C71" s="3303"/>
      <c r="D71" s="3303"/>
      <c r="E71" s="3303"/>
      <c r="F71" s="3303"/>
      <c r="G71" s="3303"/>
      <c r="H71" s="3303"/>
      <c r="I71" s="3303"/>
      <c r="J71" s="3304"/>
      <c r="K71" s="3258"/>
      <c r="L71" s="3259"/>
      <c r="M71" s="3259"/>
      <c r="N71" s="3259"/>
      <c r="O71" s="3259"/>
      <c r="P71" s="3259"/>
      <c r="Q71" s="3260"/>
      <c r="R71" s="445" t="s">
        <v>1239</v>
      </c>
      <c r="U71" s="135"/>
      <c r="V71" s="135"/>
      <c r="W71" s="135"/>
      <c r="X71" s="135"/>
      <c r="Y71" s="135"/>
      <c r="Z71" s="135"/>
      <c r="AA71" s="135"/>
      <c r="AB71" s="135"/>
      <c r="AC71" s="135"/>
      <c r="AD71" s="135"/>
      <c r="AE71" s="465"/>
    </row>
    <row r="72" spans="1:295" ht="3" customHeight="1">
      <c r="B72" s="1760"/>
      <c r="C72" s="1751"/>
      <c r="D72" s="1751"/>
      <c r="E72" s="1751"/>
      <c r="F72" s="1751"/>
      <c r="G72" s="1751"/>
      <c r="H72" s="1751"/>
      <c r="I72" s="1751"/>
      <c r="J72" s="1751"/>
      <c r="K72" s="1751"/>
      <c r="L72" s="1751"/>
      <c r="M72" s="1751"/>
      <c r="N72" s="1751"/>
      <c r="O72" s="1751"/>
      <c r="P72" s="1751"/>
      <c r="Q72" s="1748"/>
    </row>
    <row r="73" spans="1:295" ht="12.75" customHeight="1">
      <c r="A73" s="1745" t="s">
        <v>731</v>
      </c>
      <c r="B73" s="3" t="s">
        <v>1176</v>
      </c>
      <c r="C73" s="3"/>
      <c r="D73" s="3"/>
      <c r="E73" s="1751"/>
      <c r="F73" s="1751"/>
      <c r="G73" s="139" t="s">
        <v>97</v>
      </c>
      <c r="H73" s="1751"/>
      <c r="J73" s="3449" t="str">
        <f>'Part I-Project Information'!$H$82</f>
        <v>Family</v>
      </c>
      <c r="K73" s="3449"/>
      <c r="L73" s="3449"/>
      <c r="O73" s="131" t="s">
        <v>1842</v>
      </c>
      <c r="P73" s="3261"/>
      <c r="Q73" s="3262"/>
    </row>
    <row r="74" spans="1:295" ht="10.5" customHeight="1">
      <c r="B74" s="95" t="s">
        <v>3644</v>
      </c>
      <c r="D74" s="95"/>
      <c r="E74" s="95"/>
      <c r="F74" s="95"/>
      <c r="G74" s="95"/>
      <c r="H74" s="39"/>
      <c r="I74" s="1760"/>
      <c r="J74" s="1760"/>
      <c r="K74" s="136" t="s">
        <v>1841</v>
      </c>
      <c r="L74" s="1748"/>
      <c r="M74" s="1748"/>
      <c r="N74" s="1748"/>
      <c r="O74" s="1748"/>
      <c r="P74" s="1748"/>
      <c r="Q74" s="896"/>
    </row>
    <row r="75" spans="1:295" ht="10.5" customHeight="1">
      <c r="A75" s="3302" t="s">
        <v>4919</v>
      </c>
      <c r="B75" s="3303"/>
      <c r="C75" s="3303"/>
      <c r="D75" s="3303"/>
      <c r="E75" s="3303"/>
      <c r="F75" s="3303"/>
      <c r="G75" s="3303"/>
      <c r="H75" s="3303"/>
      <c r="I75" s="3303"/>
      <c r="J75" s="3304"/>
      <c r="K75" s="3258"/>
      <c r="L75" s="3259"/>
      <c r="M75" s="3259"/>
      <c r="N75" s="3259"/>
      <c r="O75" s="3259"/>
      <c r="P75" s="3259"/>
      <c r="Q75" s="3260"/>
      <c r="R75" s="445" t="s">
        <v>1239</v>
      </c>
      <c r="U75" s="135"/>
      <c r="V75" s="135"/>
      <c r="W75" s="135"/>
      <c r="X75" s="135"/>
      <c r="Y75" s="135"/>
      <c r="Z75" s="135"/>
      <c r="AA75" s="135"/>
      <c r="AB75" s="135"/>
      <c r="AC75" s="135"/>
      <c r="AD75" s="135"/>
      <c r="AE75" s="465"/>
    </row>
    <row r="76" spans="1:295" ht="3" customHeight="1">
      <c r="A76" s="1748"/>
      <c r="B76" s="1760"/>
      <c r="C76" s="1751"/>
      <c r="D76" s="1751"/>
      <c r="E76" s="1751"/>
      <c r="F76" s="1751"/>
      <c r="G76" s="1751"/>
      <c r="H76" s="1751"/>
      <c r="I76" s="1751"/>
      <c r="J76" s="1751"/>
      <c r="K76" s="1751"/>
      <c r="L76" s="1751"/>
      <c r="M76" s="1751"/>
      <c r="N76" s="1751"/>
      <c r="O76" s="1751"/>
      <c r="P76" s="1751"/>
      <c r="Q76" s="1748"/>
    </row>
    <row r="77" spans="1:295" ht="12.75" customHeight="1">
      <c r="A77" s="1745" t="s">
        <v>1770</v>
      </c>
      <c r="B77" s="1745" t="s">
        <v>2615</v>
      </c>
      <c r="C77" s="113"/>
      <c r="D77" s="1751"/>
      <c r="E77" s="1751"/>
      <c r="F77" s="1751"/>
      <c r="G77" s="1751"/>
      <c r="H77" s="1751"/>
      <c r="I77" s="1751"/>
      <c r="J77" s="1751"/>
      <c r="L77" s="1515" t="s">
        <v>4420</v>
      </c>
      <c r="M77" s="1516" t="s">
        <v>4421</v>
      </c>
      <c r="O77" s="131" t="s">
        <v>1842</v>
      </c>
      <c r="P77" s="3261"/>
      <c r="Q77" s="3262"/>
    </row>
    <row r="78" spans="1:295" ht="1.5" customHeight="1"/>
    <row r="79" spans="1:295" ht="12" customHeight="1">
      <c r="A79" s="141" t="s">
        <v>1957</v>
      </c>
      <c r="B79" s="3320" t="s">
        <v>4412</v>
      </c>
      <c r="C79" s="3320"/>
      <c r="D79" s="3320"/>
      <c r="E79" s="3320"/>
      <c r="F79" s="3320"/>
      <c r="G79" s="3320"/>
      <c r="H79" s="3320"/>
      <c r="I79" s="3320"/>
      <c r="J79" s="3320"/>
      <c r="K79" s="147"/>
      <c r="L79" s="434" t="s">
        <v>2854</v>
      </c>
      <c r="M79" s="1580">
        <v>2</v>
      </c>
      <c r="N79" s="391" t="s">
        <v>3595</v>
      </c>
      <c r="P79" s="3432" t="s">
        <v>4920</v>
      </c>
      <c r="Q79" s="3420"/>
    </row>
    <row r="80" spans="1:295" ht="12" customHeight="1">
      <c r="A80" s="141"/>
      <c r="B80" s="3320"/>
      <c r="C80" s="3320"/>
      <c r="D80" s="3320"/>
      <c r="E80" s="3320"/>
      <c r="F80" s="3320"/>
      <c r="G80" s="3320"/>
      <c r="H80" s="3320"/>
      <c r="I80" s="3320"/>
      <c r="J80" s="3320"/>
      <c r="K80" s="147"/>
      <c r="L80" s="434" t="s">
        <v>4419</v>
      </c>
      <c r="M80" s="1581">
        <v>4</v>
      </c>
      <c r="O80" s="142"/>
      <c r="P80" s="3433"/>
      <c r="Q80" s="3421"/>
    </row>
    <row r="81" spans="1:31" ht="12" customHeight="1">
      <c r="A81" s="46" t="s">
        <v>1959</v>
      </c>
      <c r="B81" s="391" t="s">
        <v>4422</v>
      </c>
      <c r="C81" s="391"/>
      <c r="D81" s="391"/>
      <c r="E81" s="391"/>
      <c r="F81" s="391"/>
      <c r="G81" s="391"/>
      <c r="H81" s="391"/>
      <c r="I81" s="391"/>
      <c r="J81" s="391"/>
      <c r="K81" s="587"/>
      <c r="L81" s="391"/>
      <c r="M81" s="147"/>
      <c r="N81" s="939"/>
      <c r="O81" s="939"/>
      <c r="P81" s="939"/>
    </row>
    <row r="82" spans="1:31" ht="12" customHeight="1">
      <c r="A82" s="1512"/>
      <c r="B82" s="1617" t="s">
        <v>1716</v>
      </c>
      <c r="C82" s="391" t="s">
        <v>4426</v>
      </c>
      <c r="D82" s="1514"/>
      <c r="E82" s="1514"/>
      <c r="F82" s="1514"/>
      <c r="G82" s="1514"/>
      <c r="H82" s="1514"/>
      <c r="I82" s="1514"/>
      <c r="J82" s="1514"/>
      <c r="K82" s="1513"/>
      <c r="L82" s="938"/>
      <c r="N82" s="391" t="s">
        <v>3595</v>
      </c>
      <c r="O82" s="939"/>
      <c r="P82" s="2444"/>
      <c r="Q82" s="534"/>
    </row>
    <row r="83" spans="1:31" ht="12" customHeight="1">
      <c r="A83" s="1512"/>
      <c r="B83" s="1617" t="s">
        <v>1717</v>
      </c>
      <c r="C83" s="391" t="s">
        <v>4423</v>
      </c>
      <c r="D83" s="1514"/>
      <c r="E83" s="1514"/>
      <c r="F83" s="1514"/>
      <c r="G83" s="1514"/>
      <c r="H83" s="1514"/>
      <c r="I83" s="1514"/>
      <c r="J83" s="1514"/>
      <c r="K83" s="1513"/>
      <c r="L83" s="938"/>
      <c r="N83" s="391" t="s">
        <v>3595</v>
      </c>
      <c r="O83" s="939"/>
      <c r="P83" s="2445" t="s">
        <v>4920</v>
      </c>
      <c r="Q83" s="535"/>
    </row>
    <row r="84" spans="1:31" ht="12" customHeight="1">
      <c r="A84" s="1511"/>
      <c r="B84" s="1617" t="s">
        <v>1718</v>
      </c>
      <c r="C84" s="391" t="s">
        <v>4424</v>
      </c>
      <c r="E84" s="1514"/>
      <c r="F84" s="1514"/>
      <c r="G84" s="1514"/>
      <c r="H84" s="1514"/>
      <c r="I84" s="1514"/>
      <c r="J84" s="1514"/>
      <c r="K84" s="1513"/>
      <c r="L84" s="938"/>
      <c r="M84" s="939"/>
      <c r="N84" s="391" t="s">
        <v>3595</v>
      </c>
      <c r="O84" s="939"/>
      <c r="P84" s="2445" t="s">
        <v>4920</v>
      </c>
      <c r="Q84" s="535"/>
    </row>
    <row r="85" spans="1:31" ht="11.1" customHeight="1">
      <c r="A85" s="143"/>
      <c r="B85" s="477" t="s">
        <v>2336</v>
      </c>
      <c r="C85" s="477" t="s">
        <v>4427</v>
      </c>
      <c r="D85" s="133"/>
      <c r="E85" s="133"/>
      <c r="F85" s="133"/>
      <c r="G85" s="133"/>
      <c r="H85" s="133"/>
      <c r="I85" s="41"/>
      <c r="J85" s="41"/>
      <c r="N85" s="391" t="s">
        <v>3595</v>
      </c>
      <c r="O85" s="939"/>
      <c r="P85" s="2446"/>
      <c r="Q85" s="536"/>
    </row>
    <row r="86" spans="1:31" ht="11.1" customHeight="1">
      <c r="A86" s="143"/>
      <c r="B86" s="477"/>
      <c r="C86" s="391" t="s">
        <v>4428</v>
      </c>
      <c r="D86" s="133"/>
      <c r="E86" s="133"/>
      <c r="F86" s="133"/>
      <c r="G86" s="133"/>
      <c r="H86" s="133"/>
      <c r="I86" s="41"/>
      <c r="J86" s="41"/>
      <c r="L86" s="3288"/>
      <c r="M86" s="3289"/>
      <c r="N86" s="3289"/>
      <c r="O86" s="3289"/>
      <c r="P86" s="3289"/>
      <c r="Q86" s="3290"/>
    </row>
    <row r="87" spans="1:31" ht="11.1" customHeight="1">
      <c r="A87" s="143"/>
      <c r="B87" s="477" t="s">
        <v>1530</v>
      </c>
      <c r="C87" s="3320" t="s">
        <v>4425</v>
      </c>
      <c r="D87" s="3320"/>
      <c r="E87" s="3320"/>
      <c r="F87" s="3320"/>
      <c r="G87" s="3320"/>
      <c r="H87" s="3320"/>
      <c r="I87" s="3320"/>
      <c r="J87" s="3320"/>
      <c r="K87" s="3320"/>
      <c r="L87" s="3320"/>
      <c r="M87" s="527"/>
      <c r="N87" s="391" t="s">
        <v>3595</v>
      </c>
      <c r="O87" s="939"/>
      <c r="P87" s="2447" t="s">
        <v>4920</v>
      </c>
      <c r="Q87" s="533"/>
    </row>
    <row r="88" spans="1:31" ht="11.1" customHeight="1">
      <c r="A88" s="46"/>
      <c r="C88" s="3320"/>
      <c r="D88" s="3320"/>
      <c r="E88" s="3320"/>
      <c r="F88" s="3320"/>
      <c r="G88" s="3320"/>
      <c r="H88" s="3320"/>
      <c r="I88" s="3320"/>
      <c r="J88" s="3320"/>
      <c r="K88" s="3320"/>
      <c r="L88" s="3320"/>
      <c r="M88" s="527"/>
    </row>
    <row r="89" spans="1:31" ht="10.5" customHeight="1">
      <c r="B89" s="95" t="s">
        <v>3644</v>
      </c>
      <c r="D89" s="95"/>
      <c r="E89" s="95"/>
      <c r="F89" s="95"/>
      <c r="G89" s="95"/>
      <c r="H89" s="39"/>
      <c r="I89" s="1760"/>
      <c r="J89" s="1760"/>
      <c r="K89" s="136" t="s">
        <v>1841</v>
      </c>
      <c r="L89" s="1748"/>
      <c r="M89" s="1748"/>
      <c r="N89" s="1748"/>
      <c r="O89" s="1748"/>
      <c r="P89" s="1748"/>
      <c r="Q89" s="896"/>
    </row>
    <row r="90" spans="1:31" ht="48.9" customHeight="1">
      <c r="A90" s="3302" t="s">
        <v>4921</v>
      </c>
      <c r="B90" s="3303"/>
      <c r="C90" s="3303"/>
      <c r="D90" s="3303"/>
      <c r="E90" s="3303"/>
      <c r="F90" s="3303"/>
      <c r="G90" s="3303"/>
      <c r="H90" s="3303"/>
      <c r="I90" s="3303"/>
      <c r="J90" s="3304"/>
      <c r="K90" s="3258"/>
      <c r="L90" s="3259"/>
      <c r="M90" s="3259"/>
      <c r="N90" s="3259"/>
      <c r="O90" s="3259"/>
      <c r="P90" s="3259"/>
      <c r="Q90" s="3260"/>
      <c r="R90" s="445" t="s">
        <v>1239</v>
      </c>
      <c r="U90" s="135"/>
      <c r="V90" s="135"/>
      <c r="W90" s="135"/>
      <c r="X90" s="135"/>
      <c r="Y90" s="135"/>
      <c r="Z90" s="135"/>
      <c r="AA90" s="135"/>
      <c r="AB90" s="135"/>
      <c r="AC90" s="135"/>
      <c r="AD90" s="135"/>
      <c r="AE90" s="465"/>
    </row>
    <row r="91" spans="1:31" ht="3" customHeight="1">
      <c r="A91" s="1748"/>
      <c r="B91" s="1760"/>
      <c r="C91" s="1751"/>
      <c r="D91" s="1751"/>
      <c r="E91" s="1751"/>
      <c r="F91" s="1751"/>
      <c r="G91" s="1751"/>
      <c r="H91" s="1751"/>
      <c r="I91" s="1751"/>
      <c r="J91" s="1751"/>
      <c r="K91" s="1751"/>
      <c r="L91" s="1751"/>
      <c r="M91" s="1751"/>
      <c r="N91" s="1751"/>
      <c r="O91" s="1751"/>
      <c r="P91" s="1751"/>
      <c r="Q91" s="1748"/>
    </row>
    <row r="92" spans="1:31" ht="14.1" customHeight="1">
      <c r="A92" s="1745" t="s">
        <v>1772</v>
      </c>
      <c r="B92" s="1745" t="s">
        <v>2616</v>
      </c>
      <c r="C92" s="1745"/>
      <c r="D92" s="1751"/>
      <c r="E92" s="1751"/>
      <c r="F92" s="1751"/>
      <c r="G92" s="1751"/>
      <c r="H92" s="1751"/>
      <c r="I92" s="1751"/>
      <c r="J92" s="1751"/>
      <c r="K92" s="1751"/>
      <c r="O92" s="131" t="s">
        <v>1842</v>
      </c>
      <c r="P92" s="3261"/>
      <c r="Q92" s="3262"/>
    </row>
    <row r="93" spans="1:31" ht="3" customHeight="1"/>
    <row r="94" spans="1:31" ht="10.5" customHeight="1">
      <c r="A94" s="46" t="s">
        <v>1957</v>
      </c>
      <c r="B94" s="144" t="s">
        <v>2428</v>
      </c>
      <c r="D94" s="133"/>
      <c r="E94" s="133"/>
      <c r="F94" s="133"/>
      <c r="G94" s="133"/>
      <c r="H94" s="133"/>
      <c r="I94" s="41"/>
      <c r="J94" s="41"/>
      <c r="K94" s="41"/>
      <c r="L94" s="463" t="s">
        <v>1957</v>
      </c>
      <c r="M94" s="3305" t="s">
        <v>4922</v>
      </c>
      <c r="N94" s="3306"/>
      <c r="O94" s="3306"/>
      <c r="P94" s="3457"/>
      <c r="Q94" s="534"/>
    </row>
    <row r="95" spans="1:31" ht="10.5" customHeight="1">
      <c r="A95" s="46" t="s">
        <v>1959</v>
      </c>
      <c r="B95" s="51" t="s">
        <v>2010</v>
      </c>
      <c r="D95" s="133"/>
      <c r="E95" s="133"/>
      <c r="F95" s="133"/>
      <c r="L95" s="463" t="s">
        <v>1959</v>
      </c>
      <c r="M95" s="3458" t="s">
        <v>4923</v>
      </c>
      <c r="N95" s="3459"/>
      <c r="O95" s="3459"/>
      <c r="P95" s="3460"/>
      <c r="Q95" s="535"/>
    </row>
    <row r="96" spans="1:31" ht="10.5" customHeight="1">
      <c r="A96" s="46" t="s">
        <v>738</v>
      </c>
      <c r="B96" s="51" t="s">
        <v>2824</v>
      </c>
      <c r="D96" s="133"/>
      <c r="E96" s="133"/>
      <c r="F96" s="133"/>
      <c r="L96" s="463" t="s">
        <v>738</v>
      </c>
      <c r="M96" s="3461">
        <v>0.96899999999999997</v>
      </c>
      <c r="N96" s="3462"/>
      <c r="O96" s="3462"/>
      <c r="P96" s="3463"/>
      <c r="Q96" s="535"/>
    </row>
    <row r="97" spans="1:31" ht="10.5" customHeight="1">
      <c r="A97" s="46" t="s">
        <v>2088</v>
      </c>
      <c r="B97" s="51" t="s">
        <v>3759</v>
      </c>
      <c r="D97" s="133"/>
      <c r="E97" s="133"/>
      <c r="F97" s="133"/>
      <c r="L97" s="463" t="s">
        <v>3760</v>
      </c>
      <c r="M97" s="2448">
        <v>5.5E-2</v>
      </c>
      <c r="N97" s="1101"/>
      <c r="O97" s="1102" t="s">
        <v>3939</v>
      </c>
      <c r="P97" s="2449">
        <v>4.8000000000000001E-2</v>
      </c>
      <c r="Q97" s="536"/>
    </row>
    <row r="98" spans="1:31" ht="10.5" customHeight="1">
      <c r="A98" s="141" t="s">
        <v>1714</v>
      </c>
      <c r="B98" s="139" t="s">
        <v>3758</v>
      </c>
      <c r="D98" s="139"/>
      <c r="E98" s="139"/>
      <c r="F98" s="139"/>
      <c r="G98" s="139"/>
      <c r="H98" s="139"/>
      <c r="I98" s="139"/>
      <c r="J98" s="139"/>
      <c r="K98" s="139"/>
      <c r="L98" s="139"/>
      <c r="M98" s="139"/>
      <c r="N98" s="139"/>
      <c r="O98" s="139"/>
      <c r="P98" s="139"/>
      <c r="Q98" s="139"/>
    </row>
    <row r="99" spans="1:31" ht="10.5" customHeight="1">
      <c r="B99" s="46"/>
      <c r="C99" s="51"/>
      <c r="D99" s="1765" t="s">
        <v>2348</v>
      </c>
      <c r="E99" s="897" t="s">
        <v>606</v>
      </c>
      <c r="F99" s="897"/>
      <c r="H99" s="51"/>
      <c r="I99" s="1765" t="s">
        <v>2348</v>
      </c>
      <c r="J99" s="897" t="s">
        <v>606</v>
      </c>
      <c r="K99" s="897"/>
      <c r="M99" s="51"/>
      <c r="N99" s="1765" t="s">
        <v>2348</v>
      </c>
      <c r="O99" s="897" t="s">
        <v>606</v>
      </c>
      <c r="P99" s="897"/>
      <c r="Q99" s="463"/>
    </row>
    <row r="100" spans="1:31" ht="10.5" customHeight="1">
      <c r="C100" s="463" t="s">
        <v>1716</v>
      </c>
      <c r="D100" s="2450" t="s">
        <v>4931</v>
      </c>
      <c r="E100" s="3450" t="s">
        <v>4924</v>
      </c>
      <c r="F100" s="3450"/>
      <c r="G100" s="3450"/>
      <c r="H100" s="65" t="s">
        <v>1718</v>
      </c>
      <c r="I100" s="2450">
        <v>2011</v>
      </c>
      <c r="J100" s="3450" t="s">
        <v>4926</v>
      </c>
      <c r="K100" s="3450"/>
      <c r="L100" s="3450"/>
      <c r="M100" s="64" t="s">
        <v>1530</v>
      </c>
      <c r="N100" s="2450" t="s">
        <v>4929</v>
      </c>
      <c r="O100" s="3450" t="s">
        <v>4928</v>
      </c>
      <c r="P100" s="3450"/>
      <c r="Q100" s="3450"/>
    </row>
    <row r="101" spans="1:31" ht="10.5" customHeight="1">
      <c r="C101" s="65" t="s">
        <v>1717</v>
      </c>
      <c r="D101" s="2451">
        <v>2009</v>
      </c>
      <c r="E101" s="3469" t="s">
        <v>4925</v>
      </c>
      <c r="F101" s="3469"/>
      <c r="G101" s="3469"/>
      <c r="H101" s="463" t="s">
        <v>2336</v>
      </c>
      <c r="I101" s="2451">
        <v>2003</v>
      </c>
      <c r="J101" s="3469" t="s">
        <v>4930</v>
      </c>
      <c r="K101" s="3469"/>
      <c r="L101" s="3469"/>
      <c r="M101" s="64" t="s">
        <v>1531</v>
      </c>
      <c r="N101" s="2451" t="s">
        <v>4927</v>
      </c>
      <c r="O101" s="3469" t="s">
        <v>4932</v>
      </c>
      <c r="P101" s="3469"/>
      <c r="Q101" s="3469"/>
    </row>
    <row r="102" spans="1:31" ht="10.5" customHeight="1">
      <c r="A102" s="46" t="s">
        <v>1715</v>
      </c>
      <c r="B102" s="51" t="s">
        <v>0</v>
      </c>
      <c r="D102" s="133"/>
      <c r="E102" s="133"/>
      <c r="F102" s="133"/>
      <c r="G102" s="133"/>
      <c r="H102" s="133"/>
      <c r="I102" s="41"/>
      <c r="J102" s="41"/>
      <c r="K102" s="133"/>
      <c r="L102" s="1756"/>
      <c r="M102" s="1756"/>
      <c r="O102" s="463" t="s">
        <v>1715</v>
      </c>
      <c r="P102" s="2452" t="s">
        <v>2933</v>
      </c>
      <c r="Q102" s="1759"/>
    </row>
    <row r="103" spans="1:31" ht="9.75" customHeight="1">
      <c r="B103" s="140" t="s">
        <v>3644</v>
      </c>
      <c r="D103" s="140"/>
      <c r="E103" s="140"/>
      <c r="F103" s="140"/>
      <c r="G103" s="140"/>
      <c r="H103" s="39"/>
      <c r="I103" s="1760"/>
      <c r="J103" s="1760"/>
      <c r="K103" s="1760"/>
      <c r="L103" s="1748"/>
      <c r="M103" s="1748"/>
      <c r="N103" s="1748"/>
      <c r="O103" s="1748"/>
      <c r="P103" s="1748"/>
      <c r="Q103" s="896"/>
    </row>
    <row r="104" spans="1:31" ht="44.25" customHeight="1">
      <c r="A104" s="3302" t="s">
        <v>4937</v>
      </c>
      <c r="B104" s="3303"/>
      <c r="C104" s="3303"/>
      <c r="D104" s="3303"/>
      <c r="E104" s="3303"/>
      <c r="F104" s="3303"/>
      <c r="G104" s="3303"/>
      <c r="H104" s="3303"/>
      <c r="I104" s="3303"/>
      <c r="J104" s="3303"/>
      <c r="K104" s="3303"/>
      <c r="L104" s="3303"/>
      <c r="M104" s="3303"/>
      <c r="N104" s="3303"/>
      <c r="O104" s="3303"/>
      <c r="P104" s="3303"/>
      <c r="Q104" s="3304"/>
      <c r="U104" s="135"/>
      <c r="V104" s="135"/>
      <c r="W104" s="135"/>
      <c r="X104" s="135"/>
      <c r="Y104" s="135"/>
      <c r="Z104" s="135"/>
      <c r="AA104" s="135"/>
      <c r="AB104" s="135"/>
      <c r="AC104" s="135"/>
      <c r="AD104" s="135"/>
      <c r="AE104" s="465"/>
    </row>
    <row r="105" spans="1:31" ht="9.75" customHeight="1">
      <c r="B105" s="136" t="s">
        <v>1841</v>
      </c>
      <c r="C105" s="137"/>
      <c r="D105" s="1751"/>
      <c r="E105" s="1751"/>
      <c r="F105" s="1751"/>
      <c r="G105" s="1751"/>
      <c r="H105" s="1751"/>
      <c r="I105" s="1751"/>
      <c r="J105" s="1751"/>
      <c r="K105" s="1751"/>
      <c r="L105" s="1751"/>
      <c r="M105" s="1751"/>
      <c r="N105" s="1751"/>
      <c r="O105" s="1751"/>
      <c r="P105" s="1751"/>
      <c r="Q105" s="1751"/>
    </row>
    <row r="106" spans="1:31" ht="44.25" customHeight="1">
      <c r="A106" s="3258"/>
      <c r="B106" s="3259"/>
      <c r="C106" s="3259"/>
      <c r="D106" s="3259"/>
      <c r="E106" s="3259"/>
      <c r="F106" s="3259"/>
      <c r="G106" s="3259"/>
      <c r="H106" s="3259"/>
      <c r="I106" s="3259"/>
      <c r="J106" s="3259"/>
      <c r="K106" s="3259"/>
      <c r="L106" s="3259"/>
      <c r="M106" s="3259"/>
      <c r="N106" s="3259"/>
      <c r="O106" s="3259"/>
      <c r="P106" s="3259"/>
      <c r="Q106" s="3260"/>
    </row>
    <row r="107" spans="1:31" ht="14.1" customHeight="1">
      <c r="A107" s="1745" t="s">
        <v>522</v>
      </c>
      <c r="B107" s="1745" t="s">
        <v>2617</v>
      </c>
      <c r="C107" s="1745"/>
      <c r="D107" s="1751"/>
      <c r="E107" s="1751"/>
      <c r="F107" s="1751"/>
      <c r="G107" s="1751"/>
      <c r="H107" s="1751"/>
      <c r="I107" s="1751"/>
      <c r="J107" s="1751"/>
      <c r="K107" s="1751"/>
      <c r="L107" s="1751"/>
      <c r="M107" s="1751"/>
      <c r="O107" s="131" t="s">
        <v>1842</v>
      </c>
      <c r="P107" s="3261"/>
      <c r="Q107" s="3262"/>
    </row>
    <row r="108" spans="1:31" ht="3" customHeight="1"/>
    <row r="109" spans="1:31" ht="9.75" customHeight="1">
      <c r="B109" s="54" t="s">
        <v>4605</v>
      </c>
      <c r="P109" s="2447" t="s">
        <v>2933</v>
      </c>
      <c r="Q109" s="533"/>
    </row>
    <row r="110" spans="1:31" ht="10.5" customHeight="1">
      <c r="A110" s="46" t="s">
        <v>1957</v>
      </c>
      <c r="B110" s="51" t="s">
        <v>488</v>
      </c>
      <c r="C110" s="51"/>
      <c r="E110" s="51"/>
      <c r="F110" s="51"/>
      <c r="G110" s="51"/>
      <c r="H110" s="51"/>
      <c r="I110" s="51"/>
      <c r="J110" s="51"/>
      <c r="K110" s="51"/>
      <c r="L110" s="51"/>
      <c r="M110" s="51"/>
      <c r="O110" s="463" t="s">
        <v>1957</v>
      </c>
      <c r="P110" s="2453" t="s">
        <v>2933</v>
      </c>
      <c r="Q110" s="940"/>
    </row>
    <row r="111" spans="1:31" ht="10.5" customHeight="1">
      <c r="A111" s="46" t="s">
        <v>1959</v>
      </c>
      <c r="B111" s="51" t="s">
        <v>1289</v>
      </c>
      <c r="C111" s="51"/>
      <c r="E111" s="51"/>
      <c r="F111" s="51"/>
      <c r="G111" s="51"/>
      <c r="H111" s="51"/>
      <c r="I111" s="51"/>
      <c r="J111" s="51"/>
      <c r="K111" s="51"/>
      <c r="L111" s="897"/>
      <c r="M111" s="897"/>
      <c r="O111" s="463" t="s">
        <v>1959</v>
      </c>
      <c r="P111" s="2446" t="s">
        <v>2933</v>
      </c>
      <c r="Q111" s="535"/>
    </row>
    <row r="112" spans="1:31" ht="10.5" customHeight="1">
      <c r="A112" s="35"/>
      <c r="B112" s="38" t="s">
        <v>545</v>
      </c>
      <c r="E112" s="41"/>
      <c r="F112" s="41"/>
      <c r="G112" s="41"/>
      <c r="H112" s="41"/>
      <c r="I112" s="41"/>
      <c r="L112" s="65" t="s">
        <v>546</v>
      </c>
      <c r="M112" s="3288" t="s">
        <v>4933</v>
      </c>
      <c r="N112" s="3289"/>
      <c r="O112" s="3289"/>
      <c r="P112" s="2930"/>
      <c r="Q112" s="535"/>
    </row>
    <row r="113" spans="1:32" ht="10.5" customHeight="1">
      <c r="A113" s="1760"/>
      <c r="B113" s="1617" t="s">
        <v>1716</v>
      </c>
      <c r="C113" s="897" t="s">
        <v>4429</v>
      </c>
      <c r="D113" s="1027"/>
      <c r="E113" s="1027"/>
      <c r="F113" s="1027"/>
      <c r="G113" s="1027"/>
      <c r="H113" s="1027"/>
      <c r="I113" s="1027"/>
      <c r="J113" s="1027"/>
      <c r="K113" s="1027"/>
      <c r="L113" s="1027"/>
      <c r="M113" s="1027"/>
      <c r="O113" s="148" t="s">
        <v>1716</v>
      </c>
      <c r="P113" s="2444" t="s">
        <v>2933</v>
      </c>
      <c r="Q113" s="535"/>
    </row>
    <row r="114" spans="1:32" ht="10.5" customHeight="1">
      <c r="A114" s="1760"/>
      <c r="B114" s="145" t="s">
        <v>1717</v>
      </c>
      <c r="C114" s="897" t="s">
        <v>3404</v>
      </c>
      <c r="D114" s="1027"/>
      <c r="E114" s="1027"/>
      <c r="F114" s="1027"/>
      <c r="G114" s="1027"/>
      <c r="H114" s="1027"/>
      <c r="I114" s="1027"/>
      <c r="J114" s="1027"/>
      <c r="K114" s="1027"/>
      <c r="L114" s="1027"/>
      <c r="M114" s="1027"/>
      <c r="O114" s="65" t="s">
        <v>1717</v>
      </c>
      <c r="P114" s="2445" t="s">
        <v>2933</v>
      </c>
      <c r="Q114" s="535"/>
    </row>
    <row r="115" spans="1:32" ht="10.5" customHeight="1">
      <c r="A115" s="1760"/>
      <c r="B115" s="1617" t="s">
        <v>1718</v>
      </c>
      <c r="C115" s="897" t="s">
        <v>3405</v>
      </c>
      <c r="D115" s="1027"/>
      <c r="E115" s="1027"/>
      <c r="F115" s="1027"/>
      <c r="G115" s="1027"/>
      <c r="H115" s="1027"/>
      <c r="I115" s="1027"/>
      <c r="J115" s="1027"/>
      <c r="K115" s="1027"/>
      <c r="L115" s="1027"/>
      <c r="M115" s="1027"/>
      <c r="O115" s="148" t="s">
        <v>1718</v>
      </c>
      <c r="P115" s="2445" t="s">
        <v>2933</v>
      </c>
      <c r="Q115" s="535"/>
    </row>
    <row r="116" spans="1:32" ht="10.5" customHeight="1">
      <c r="A116" s="1760"/>
      <c r="B116" s="477" t="s">
        <v>2336</v>
      </c>
      <c r="C116" s="897" t="s">
        <v>2825</v>
      </c>
      <c r="D116" s="897"/>
      <c r="E116" s="897"/>
      <c r="F116" s="897"/>
      <c r="G116" s="897"/>
      <c r="H116" s="897"/>
      <c r="I116" s="897"/>
      <c r="J116" s="897"/>
      <c r="K116" s="897"/>
      <c r="L116" s="897"/>
      <c r="M116" s="1167"/>
      <c r="O116" s="160" t="s">
        <v>2336</v>
      </c>
      <c r="P116" s="2445" t="s">
        <v>2933</v>
      </c>
      <c r="Q116" s="535"/>
    </row>
    <row r="117" spans="1:32" s="132" customFormat="1" ht="24.75" customHeight="1">
      <c r="A117" s="434"/>
      <c r="B117" s="477" t="s">
        <v>1530</v>
      </c>
      <c r="C117" s="3257" t="s">
        <v>2652</v>
      </c>
      <c r="D117" s="3257"/>
      <c r="E117" s="3257"/>
      <c r="F117" s="3257"/>
      <c r="G117" s="3257"/>
      <c r="H117" s="3257"/>
      <c r="I117" s="3257"/>
      <c r="J117" s="3257"/>
      <c r="K117" s="3257"/>
      <c r="L117" s="3257"/>
      <c r="M117" s="3257"/>
      <c r="N117" s="3257"/>
      <c r="O117" s="160" t="s">
        <v>1530</v>
      </c>
      <c r="P117" s="2454"/>
      <c r="Q117" s="1754"/>
      <c r="AE117" s="466"/>
      <c r="AF117" s="466"/>
    </row>
    <row r="118" spans="1:32" ht="10.5" customHeight="1">
      <c r="A118" s="46" t="s">
        <v>738</v>
      </c>
      <c r="B118" s="51" t="s">
        <v>144</v>
      </c>
      <c r="D118" s="51"/>
      <c r="E118" s="51"/>
      <c r="F118" s="51"/>
      <c r="G118" s="51"/>
      <c r="H118" s="51"/>
      <c r="I118" s="51"/>
      <c r="J118" s="51"/>
      <c r="K118" s="51"/>
      <c r="L118" s="51"/>
      <c r="M118" s="51"/>
      <c r="O118" s="463" t="s">
        <v>738</v>
      </c>
      <c r="P118" s="2446" t="s">
        <v>2936</v>
      </c>
      <c r="Q118" s="536"/>
    </row>
    <row r="119" spans="1:32" ht="10.5" customHeight="1">
      <c r="A119" s="46" t="s">
        <v>2088</v>
      </c>
      <c r="B119" s="51" t="s">
        <v>1412</v>
      </c>
      <c r="D119" s="51"/>
      <c r="E119" s="51"/>
      <c r="G119" s="51"/>
      <c r="I119" s="51"/>
      <c r="K119" s="51"/>
      <c r="L119" s="897"/>
      <c r="M119" s="897"/>
      <c r="N119" s="897"/>
      <c r="O119" s="463" t="s">
        <v>2088</v>
      </c>
      <c r="P119" s="897"/>
      <c r="Q119" s="897"/>
    </row>
    <row r="120" spans="1:32" ht="10.5" customHeight="1">
      <c r="B120" s="145" t="s">
        <v>1716</v>
      </c>
      <c r="C120" s="51" t="s">
        <v>1413</v>
      </c>
      <c r="E120" s="51"/>
      <c r="F120" s="51"/>
      <c r="G120" s="51"/>
      <c r="H120" s="51"/>
      <c r="I120" s="51"/>
      <c r="J120" s="51"/>
      <c r="K120" s="51"/>
      <c r="L120" s="897"/>
      <c r="M120" s="897"/>
      <c r="O120" s="65" t="s">
        <v>1716</v>
      </c>
      <c r="P120" s="2444" t="s">
        <v>2933</v>
      </c>
      <c r="Q120" s="534"/>
    </row>
    <row r="121" spans="1:32" ht="10.5" customHeight="1">
      <c r="B121" s="145" t="s">
        <v>1717</v>
      </c>
      <c r="C121" s="51" t="s">
        <v>1414</v>
      </c>
      <c r="E121" s="51"/>
      <c r="F121" s="51"/>
      <c r="G121" s="51"/>
      <c r="H121" s="51"/>
      <c r="I121" s="51"/>
      <c r="J121" s="51"/>
      <c r="K121" s="51"/>
      <c r="L121" s="897"/>
      <c r="M121" s="897"/>
      <c r="O121" s="65" t="s">
        <v>1717</v>
      </c>
      <c r="P121" s="2445" t="s">
        <v>2936</v>
      </c>
      <c r="Q121" s="535"/>
    </row>
    <row r="122" spans="1:32" ht="10.5" customHeight="1">
      <c r="B122" s="145" t="s">
        <v>1718</v>
      </c>
      <c r="C122" s="51" t="s">
        <v>1415</v>
      </c>
      <c r="E122" s="51"/>
      <c r="F122" s="51"/>
      <c r="G122" s="51"/>
      <c r="H122" s="51"/>
      <c r="I122" s="51"/>
      <c r="J122" s="51"/>
      <c r="K122" s="51"/>
      <c r="L122" s="897"/>
      <c r="M122" s="897"/>
      <c r="O122" s="65" t="s">
        <v>1718</v>
      </c>
      <c r="P122" s="2446" t="s">
        <v>2936</v>
      </c>
      <c r="Q122" s="536"/>
    </row>
    <row r="123" spans="1:32" ht="10.5" customHeight="1">
      <c r="B123" s="140" t="s">
        <v>3644</v>
      </c>
      <c r="D123" s="140"/>
      <c r="E123" s="140"/>
      <c r="F123" s="140"/>
      <c r="G123" s="140"/>
      <c r="H123" s="39"/>
      <c r="I123" s="1760"/>
      <c r="J123" s="1760"/>
      <c r="K123" s="1760"/>
      <c r="L123" s="1748"/>
      <c r="M123" s="1748"/>
      <c r="N123" s="1748"/>
      <c r="O123" s="1748"/>
      <c r="P123" s="1748"/>
      <c r="Q123" s="896"/>
    </row>
    <row r="124" spans="1:32" ht="22.5" customHeight="1">
      <c r="A124" s="3302" t="s">
        <v>4934</v>
      </c>
      <c r="B124" s="3303"/>
      <c r="C124" s="3303"/>
      <c r="D124" s="3303"/>
      <c r="E124" s="3303"/>
      <c r="F124" s="3303"/>
      <c r="G124" s="3303"/>
      <c r="H124" s="3303"/>
      <c r="I124" s="3303"/>
      <c r="J124" s="3303"/>
      <c r="K124" s="3303"/>
      <c r="L124" s="3303"/>
      <c r="M124" s="3303"/>
      <c r="N124" s="3303"/>
      <c r="O124" s="3303"/>
      <c r="P124" s="3303"/>
      <c r="Q124" s="3304"/>
      <c r="U124" s="135"/>
      <c r="V124" s="135"/>
      <c r="W124" s="135"/>
      <c r="X124" s="135"/>
      <c r="Y124" s="135"/>
      <c r="Z124" s="135"/>
      <c r="AA124" s="135"/>
      <c r="AB124" s="135"/>
      <c r="AC124" s="135"/>
      <c r="AD124" s="135"/>
      <c r="AE124" s="465"/>
    </row>
    <row r="125" spans="1:32" ht="11.25" customHeight="1">
      <c r="B125" s="136" t="s">
        <v>1841</v>
      </c>
      <c r="C125" s="137"/>
      <c r="D125" s="1751"/>
      <c r="E125" s="1751"/>
      <c r="F125" s="1751"/>
      <c r="G125" s="1751"/>
      <c r="H125" s="1751"/>
      <c r="I125" s="1751"/>
      <c r="J125" s="1751"/>
      <c r="K125" s="1751"/>
      <c r="L125" s="1751"/>
      <c r="M125" s="1751"/>
      <c r="N125" s="1751"/>
      <c r="O125" s="1751"/>
      <c r="P125" s="1751"/>
      <c r="Q125" s="1751"/>
    </row>
    <row r="126" spans="1:32" ht="22.5" customHeight="1">
      <c r="A126" s="3258"/>
      <c r="B126" s="3259"/>
      <c r="C126" s="3259"/>
      <c r="D126" s="3259"/>
      <c r="E126" s="3259"/>
      <c r="F126" s="3259"/>
      <c r="G126" s="3259"/>
      <c r="H126" s="3259"/>
      <c r="I126" s="3259"/>
      <c r="J126" s="3259"/>
      <c r="K126" s="3259"/>
      <c r="L126" s="3259"/>
      <c r="M126" s="3259"/>
      <c r="N126" s="3259"/>
      <c r="O126" s="3259"/>
      <c r="P126" s="3259"/>
      <c r="Q126" s="3260"/>
    </row>
    <row r="127" spans="1:32" ht="14.1" customHeight="1">
      <c r="A127" s="1745" t="s">
        <v>761</v>
      </c>
      <c r="B127" s="1745" t="s">
        <v>2618</v>
      </c>
      <c r="C127" s="39"/>
      <c r="D127" s="1751"/>
      <c r="E127" s="1751"/>
      <c r="F127" s="1751"/>
      <c r="G127" s="1751"/>
      <c r="H127" s="1751"/>
      <c r="I127" s="1751"/>
      <c r="J127" s="1751"/>
      <c r="K127" s="1751"/>
      <c r="L127" s="1751"/>
      <c r="M127" s="1751"/>
      <c r="O127" s="131" t="s">
        <v>1842</v>
      </c>
      <c r="P127" s="3261"/>
      <c r="Q127" s="3262"/>
    </row>
    <row r="128" spans="1:32" ht="6.6" customHeight="1"/>
    <row r="129" spans="1:17" ht="12" customHeight="1">
      <c r="A129" s="46" t="s">
        <v>1957</v>
      </c>
      <c r="B129" s="51" t="s">
        <v>3543</v>
      </c>
      <c r="D129" s="133"/>
      <c r="E129" s="133"/>
      <c r="F129" s="133"/>
      <c r="G129" s="133"/>
      <c r="H129" s="133"/>
      <c r="I129" s="41"/>
      <c r="J129" s="41"/>
      <c r="K129" s="463" t="s">
        <v>1957</v>
      </c>
      <c r="L129" s="3465" t="s">
        <v>4935</v>
      </c>
      <c r="M129" s="3465"/>
      <c r="N129" s="3465"/>
      <c r="O129" s="3465"/>
      <c r="P129" s="3465"/>
      <c r="Q129" s="533"/>
    </row>
    <row r="130" spans="1:17" ht="12" customHeight="1">
      <c r="A130" s="46" t="s">
        <v>1959</v>
      </c>
      <c r="B130" s="51" t="s">
        <v>1519</v>
      </c>
      <c r="D130" s="133"/>
      <c r="E130" s="133"/>
      <c r="F130" s="133"/>
      <c r="G130" s="133"/>
      <c r="H130" s="133"/>
      <c r="I130" s="41"/>
      <c r="J130" s="41"/>
      <c r="K130" s="133"/>
      <c r="L130" s="1756"/>
      <c r="O130" s="463" t="s">
        <v>1959</v>
      </c>
      <c r="P130" s="2453" t="s">
        <v>2936</v>
      </c>
      <c r="Q130" s="940"/>
    </row>
    <row r="131" spans="1:17" ht="12" customHeight="1">
      <c r="A131" s="46" t="s">
        <v>738</v>
      </c>
      <c r="B131" s="51" t="s">
        <v>149</v>
      </c>
      <c r="D131" s="133"/>
      <c r="E131" s="133"/>
      <c r="F131" s="133"/>
      <c r="G131" s="133"/>
      <c r="H131" s="133"/>
      <c r="I131" s="41"/>
      <c r="J131" s="41"/>
      <c r="K131" s="1756"/>
      <c r="L131" s="1756"/>
      <c r="O131" s="463" t="s">
        <v>738</v>
      </c>
      <c r="P131" s="2446" t="s">
        <v>2933</v>
      </c>
      <c r="Q131" s="903"/>
    </row>
    <row r="132" spans="1:17" ht="12" customHeight="1">
      <c r="A132" s="46"/>
      <c r="B132" s="897" t="s">
        <v>1716</v>
      </c>
      <c r="C132" s="51" t="s">
        <v>2651</v>
      </c>
      <c r="E132" s="133"/>
      <c r="F132" s="133"/>
      <c r="G132" s="133"/>
      <c r="H132" s="133"/>
      <c r="I132" s="41"/>
      <c r="J132" s="41"/>
      <c r="K132" s="65" t="s">
        <v>1716</v>
      </c>
      <c r="L132" s="3465" t="s">
        <v>4936</v>
      </c>
      <c r="M132" s="3465"/>
      <c r="N132" s="3465"/>
      <c r="O132" s="3465"/>
      <c r="P132" s="3465"/>
      <c r="Q132" s="533"/>
    </row>
    <row r="133" spans="1:17" ht="12" customHeight="1">
      <c r="A133" s="138"/>
      <c r="B133" s="145" t="s">
        <v>1717</v>
      </c>
      <c r="C133" s="35" t="s">
        <v>3406</v>
      </c>
      <c r="E133" s="41"/>
      <c r="F133" s="41"/>
      <c r="G133" s="41"/>
      <c r="H133" s="51"/>
      <c r="I133" s="41"/>
      <c r="J133" s="41"/>
      <c r="K133" s="133"/>
      <c r="L133" s="1756"/>
      <c r="M133" s="1756"/>
      <c r="O133" s="463" t="s">
        <v>1717</v>
      </c>
      <c r="P133" s="2452">
        <v>60.5</v>
      </c>
      <c r="Q133" s="1759"/>
    </row>
    <row r="134" spans="1:17" ht="12" customHeight="1">
      <c r="A134" s="138"/>
      <c r="B134" s="39" t="s">
        <v>1718</v>
      </c>
      <c r="C134" s="35" t="s">
        <v>4413</v>
      </c>
      <c r="D134" s="147"/>
      <c r="E134" s="41"/>
      <c r="F134" s="41"/>
      <c r="G134" s="41"/>
      <c r="H134" s="51"/>
      <c r="I134" s="41"/>
      <c r="J134" s="41"/>
      <c r="K134" s="133"/>
      <c r="L134" s="1756"/>
      <c r="M134" s="1756"/>
      <c r="O134" s="463" t="s">
        <v>1718</v>
      </c>
      <c r="P134" s="2452"/>
      <c r="Q134" s="1759"/>
    </row>
    <row r="135" spans="1:17" ht="12" customHeight="1">
      <c r="A135" s="46" t="s">
        <v>2088</v>
      </c>
      <c r="B135" s="51" t="s">
        <v>1245</v>
      </c>
      <c r="D135" s="133"/>
      <c r="E135" s="133"/>
      <c r="F135" s="133"/>
      <c r="G135" s="133"/>
      <c r="H135" s="133"/>
      <c r="I135" s="41"/>
      <c r="J135" s="41"/>
      <c r="K135" s="133"/>
      <c r="L135" s="1756"/>
      <c r="M135" s="1756"/>
      <c r="N135" s="1756"/>
      <c r="O135" s="463" t="s">
        <v>2088</v>
      </c>
    </row>
    <row r="136" spans="1:17" ht="12" customHeight="1">
      <c r="A136" s="46"/>
      <c r="B136" s="145" t="s">
        <v>1716</v>
      </c>
      <c r="C136" s="51" t="s">
        <v>147</v>
      </c>
      <c r="E136" s="133"/>
      <c r="F136" s="133"/>
      <c r="G136" s="133"/>
      <c r="H136" s="133"/>
      <c r="I136" s="41"/>
      <c r="J136" s="41"/>
      <c r="K136" s="133"/>
      <c r="L136" s="1756"/>
      <c r="M136" s="1756"/>
      <c r="O136" s="65" t="s">
        <v>1716</v>
      </c>
      <c r="P136" s="2444" t="s">
        <v>2936</v>
      </c>
      <c r="Q136" s="534"/>
    </row>
    <row r="137" spans="1:17" ht="12" customHeight="1">
      <c r="A137" s="46"/>
      <c r="B137" s="145" t="s">
        <v>1717</v>
      </c>
      <c r="C137" s="51" t="s">
        <v>1246</v>
      </c>
      <c r="E137" s="133"/>
      <c r="F137" s="133"/>
      <c r="G137" s="133"/>
      <c r="H137" s="41"/>
      <c r="I137" s="41"/>
      <c r="J137" s="41"/>
      <c r="K137" s="133"/>
      <c r="L137" s="1756"/>
      <c r="M137" s="1756"/>
      <c r="O137" s="65" t="s">
        <v>1717</v>
      </c>
      <c r="P137" s="2445" t="s">
        <v>2936</v>
      </c>
      <c r="Q137" s="535"/>
    </row>
    <row r="138" spans="1:17" ht="12" customHeight="1">
      <c r="A138" s="46"/>
      <c r="B138" s="145"/>
      <c r="C138" s="51" t="s">
        <v>2597</v>
      </c>
      <c r="E138" s="463" t="s">
        <v>2403</v>
      </c>
      <c r="F138" s="51" t="s">
        <v>2598</v>
      </c>
      <c r="G138" s="41"/>
      <c r="H138" s="51"/>
      <c r="I138" s="41"/>
      <c r="J138" s="41"/>
      <c r="K138" s="133"/>
      <c r="L138" s="1756"/>
      <c r="M138" s="1756"/>
      <c r="O138" s="463" t="s">
        <v>2403</v>
      </c>
      <c r="P138" s="2455"/>
      <c r="Q138" s="858"/>
    </row>
    <row r="139" spans="1:17" ht="12" customHeight="1">
      <c r="A139" s="46"/>
      <c r="B139" s="145"/>
      <c r="E139" s="463" t="s">
        <v>2404</v>
      </c>
      <c r="F139" s="51" t="s">
        <v>2599</v>
      </c>
      <c r="G139" s="41"/>
      <c r="H139" s="51"/>
      <c r="I139" s="41"/>
      <c r="J139" s="41"/>
      <c r="K139" s="133"/>
      <c r="L139" s="1756"/>
      <c r="M139" s="1756"/>
      <c r="O139" s="463" t="s">
        <v>2404</v>
      </c>
      <c r="P139" s="2445"/>
      <c r="Q139" s="535"/>
    </row>
    <row r="140" spans="1:17" ht="12" customHeight="1">
      <c r="A140" s="46"/>
      <c r="B140" s="145"/>
      <c r="E140" s="463" t="s">
        <v>2405</v>
      </c>
      <c r="F140" s="51" t="s">
        <v>2600</v>
      </c>
      <c r="G140" s="41"/>
      <c r="H140" s="51"/>
      <c r="I140" s="41"/>
      <c r="J140" s="41"/>
      <c r="K140" s="133"/>
      <c r="L140" s="1756"/>
      <c r="M140" s="1756"/>
      <c r="O140" s="463" t="s">
        <v>2405</v>
      </c>
      <c r="P140" s="2445"/>
      <c r="Q140" s="535"/>
    </row>
    <row r="141" spans="1:17" ht="12" customHeight="1">
      <c r="A141" s="46"/>
      <c r="B141" s="145" t="s">
        <v>1718</v>
      </c>
      <c r="C141" s="51" t="s">
        <v>1247</v>
      </c>
      <c r="E141" s="133"/>
      <c r="F141" s="133"/>
      <c r="G141" s="133"/>
      <c r="H141" s="51"/>
      <c r="I141" s="41"/>
      <c r="J141" s="41"/>
      <c r="K141" s="133"/>
      <c r="L141" s="1756"/>
      <c r="M141" s="1756"/>
      <c r="O141" s="65" t="s">
        <v>1718</v>
      </c>
      <c r="P141" s="2445" t="s">
        <v>2936</v>
      </c>
      <c r="Q141" s="535"/>
    </row>
    <row r="142" spans="1:17" ht="12" customHeight="1">
      <c r="A142" s="46"/>
      <c r="B142" s="65"/>
      <c r="C142" s="51" t="s">
        <v>2597</v>
      </c>
      <c r="E142" s="463" t="s">
        <v>2403</v>
      </c>
      <c r="F142" s="51" t="s">
        <v>2601</v>
      </c>
      <c r="G142" s="41"/>
      <c r="H142" s="51"/>
      <c r="I142" s="41"/>
      <c r="J142" s="41"/>
      <c r="K142" s="133"/>
      <c r="L142" s="1756"/>
      <c r="O142" s="463" t="s">
        <v>2403</v>
      </c>
      <c r="P142" s="2455"/>
      <c r="Q142" s="858"/>
    </row>
    <row r="143" spans="1:17" ht="12" customHeight="1">
      <c r="A143" s="46"/>
      <c r="B143" s="65"/>
      <c r="E143" s="463" t="s">
        <v>2404</v>
      </c>
      <c r="F143" s="51" t="s">
        <v>2602</v>
      </c>
      <c r="G143" s="41"/>
      <c r="H143" s="51"/>
      <c r="I143" s="41"/>
      <c r="J143" s="41"/>
      <c r="O143" s="463" t="s">
        <v>2404</v>
      </c>
      <c r="P143" s="2445"/>
      <c r="Q143" s="535"/>
    </row>
    <row r="144" spans="1:17" ht="12" customHeight="1">
      <c r="A144" s="46"/>
      <c r="B144" s="65"/>
      <c r="E144" s="463" t="s">
        <v>2405</v>
      </c>
      <c r="F144" s="51" t="s">
        <v>2600</v>
      </c>
      <c r="G144" s="41"/>
      <c r="H144" s="51"/>
      <c r="I144" s="41"/>
      <c r="J144" s="41"/>
      <c r="O144" s="463" t="s">
        <v>2405</v>
      </c>
      <c r="P144" s="2446"/>
      <c r="Q144" s="536"/>
    </row>
    <row r="145" spans="1:32" ht="12" customHeight="1">
      <c r="A145" s="46" t="s">
        <v>1714</v>
      </c>
      <c r="B145" s="145" t="s">
        <v>2383</v>
      </c>
      <c r="D145" s="133"/>
      <c r="E145" s="133"/>
      <c r="F145" s="133"/>
      <c r="G145" s="133"/>
      <c r="H145" s="133"/>
      <c r="I145" s="41"/>
      <c r="J145" s="41"/>
      <c r="K145" s="133"/>
      <c r="L145" s="1756"/>
      <c r="M145" s="1756"/>
      <c r="N145" s="1756"/>
      <c r="O145" s="1756"/>
      <c r="P145" s="1756"/>
      <c r="Q145" s="1756"/>
    </row>
    <row r="146" spans="1:32" ht="12" customHeight="1">
      <c r="B146" s="145" t="s">
        <v>1716</v>
      </c>
      <c r="C146" s="51" t="s">
        <v>2462</v>
      </c>
      <c r="E146" s="133"/>
      <c r="F146" s="2444" t="s">
        <v>2933</v>
      </c>
      <c r="G146" s="534"/>
      <c r="H146" s="463" t="s">
        <v>4648</v>
      </c>
      <c r="I146" s="54" t="s">
        <v>2604</v>
      </c>
      <c r="L146" s="2444" t="s">
        <v>2936</v>
      </c>
      <c r="M146" s="534"/>
      <c r="N146" s="463" t="s">
        <v>4652</v>
      </c>
      <c r="O146" s="51" t="s">
        <v>1533</v>
      </c>
      <c r="P146" s="2444" t="s">
        <v>2936</v>
      </c>
      <c r="Q146" s="534"/>
    </row>
    <row r="147" spans="1:32" ht="12" customHeight="1">
      <c r="A147" s="35"/>
      <c r="B147" s="145" t="s">
        <v>1717</v>
      </c>
      <c r="C147" s="51" t="s">
        <v>2755</v>
      </c>
      <c r="E147" s="133"/>
      <c r="F147" s="2445" t="s">
        <v>2936</v>
      </c>
      <c r="G147" s="535"/>
      <c r="H147" s="463" t="s">
        <v>4649</v>
      </c>
      <c r="I147" s="54" t="s">
        <v>2605</v>
      </c>
      <c r="L147" s="2445" t="s">
        <v>2936</v>
      </c>
      <c r="M147" s="535"/>
      <c r="N147" s="463" t="s">
        <v>4653</v>
      </c>
      <c r="O147" s="51" t="s">
        <v>1532</v>
      </c>
      <c r="P147" s="2445" t="s">
        <v>2936</v>
      </c>
      <c r="Q147" s="535"/>
    </row>
    <row r="148" spans="1:32" ht="12" customHeight="1">
      <c r="A148" s="35"/>
      <c r="B148" s="145" t="s">
        <v>1718</v>
      </c>
      <c r="C148" s="51" t="s">
        <v>2603</v>
      </c>
      <c r="E148" s="133"/>
      <c r="F148" s="2445" t="s">
        <v>2936</v>
      </c>
      <c r="G148" s="535"/>
      <c r="H148" s="463" t="s">
        <v>4650</v>
      </c>
      <c r="I148" s="54" t="s">
        <v>3718</v>
      </c>
      <c r="L148" s="2445" t="s">
        <v>2936</v>
      </c>
      <c r="M148" s="535"/>
      <c r="N148" s="463" t="s">
        <v>4654</v>
      </c>
      <c r="O148" s="51" t="s">
        <v>1534</v>
      </c>
      <c r="P148" s="2446" t="s">
        <v>2936</v>
      </c>
      <c r="Q148" s="536"/>
    </row>
    <row r="149" spans="1:32" ht="12" customHeight="1">
      <c r="A149" s="35"/>
      <c r="B149" s="145" t="s">
        <v>2336</v>
      </c>
      <c r="C149" s="51" t="s">
        <v>2757</v>
      </c>
      <c r="E149" s="133"/>
      <c r="F149" s="2446" t="s">
        <v>2936</v>
      </c>
      <c r="G149" s="536"/>
      <c r="H149" s="463" t="s">
        <v>4651</v>
      </c>
      <c r="I149" s="51" t="s">
        <v>2754</v>
      </c>
      <c r="L149" s="2446" t="s">
        <v>2936</v>
      </c>
      <c r="M149" s="536"/>
      <c r="O149" s="65"/>
    </row>
    <row r="150" spans="1:32" ht="12" customHeight="1">
      <c r="A150" s="35"/>
      <c r="B150" s="39" t="s">
        <v>2837</v>
      </c>
      <c r="C150" s="51" t="s">
        <v>2756</v>
      </c>
      <c r="E150" s="133"/>
      <c r="F150" s="133"/>
      <c r="G150" s="133"/>
      <c r="H150" s="133"/>
      <c r="I150" s="133"/>
      <c r="J150" s="133"/>
      <c r="K150" s="133"/>
      <c r="L150" s="133"/>
      <c r="M150" s="51"/>
      <c r="O150" s="65"/>
      <c r="P150" s="65"/>
    </row>
    <row r="151" spans="1:32" ht="57.9" customHeight="1">
      <c r="A151" s="35"/>
      <c r="C151" s="3464"/>
      <c r="D151" s="3464"/>
      <c r="E151" s="3464"/>
      <c r="F151" s="3464"/>
      <c r="G151" s="3464"/>
      <c r="H151" s="3464"/>
      <c r="I151" s="3464"/>
      <c r="J151" s="3464"/>
      <c r="K151" s="3464"/>
      <c r="L151" s="3464"/>
      <c r="M151" s="3464"/>
      <c r="N151" s="3464"/>
      <c r="O151" s="3464"/>
      <c r="P151" s="3464"/>
      <c r="Q151" s="3464"/>
    </row>
    <row r="152" spans="1:32" ht="12" customHeight="1">
      <c r="A152" s="46" t="s">
        <v>1715</v>
      </c>
      <c r="B152" s="51" t="s">
        <v>3499</v>
      </c>
      <c r="D152" s="133"/>
      <c r="E152" s="133"/>
      <c r="F152" s="133"/>
      <c r="G152" s="133"/>
      <c r="H152" s="133"/>
      <c r="I152" s="41"/>
      <c r="J152" s="41"/>
      <c r="K152" s="133"/>
      <c r="L152" s="133"/>
      <c r="M152" s="1756"/>
    </row>
    <row r="153" spans="1:32" ht="12" customHeight="1">
      <c r="A153" s="41"/>
      <c r="B153" s="145" t="s">
        <v>1716</v>
      </c>
      <c r="C153" s="51" t="s">
        <v>2758</v>
      </c>
      <c r="E153" s="133"/>
      <c r="F153" s="133"/>
      <c r="G153" s="133"/>
      <c r="H153" s="133"/>
      <c r="O153" s="65" t="s">
        <v>1716</v>
      </c>
      <c r="P153" s="2444"/>
      <c r="Q153" s="534"/>
    </row>
    <row r="154" spans="1:32" ht="12" customHeight="1">
      <c r="A154" s="1760"/>
      <c r="B154" s="145" t="s">
        <v>1717</v>
      </c>
      <c r="C154" s="51" t="s">
        <v>485</v>
      </c>
      <c r="E154" s="51"/>
      <c r="F154" s="51"/>
      <c r="G154" s="51"/>
      <c r="H154" s="51"/>
      <c r="I154" s="41"/>
      <c r="J154" s="41"/>
      <c r="K154" s="51"/>
      <c r="L154" s="51"/>
      <c r="M154" s="51"/>
      <c r="O154" s="65" t="s">
        <v>1717</v>
      </c>
      <c r="P154" s="2445"/>
      <c r="Q154" s="535"/>
    </row>
    <row r="155" spans="1:32" ht="12" customHeight="1">
      <c r="A155" s="1760"/>
      <c r="B155" s="145" t="s">
        <v>1718</v>
      </c>
      <c r="C155" s="51" t="s">
        <v>670</v>
      </c>
      <c r="E155" s="51"/>
      <c r="F155" s="51"/>
      <c r="G155" s="51"/>
      <c r="H155" s="51"/>
      <c r="I155" s="41"/>
      <c r="J155" s="41"/>
      <c r="K155" s="51"/>
      <c r="L155" s="51"/>
      <c r="M155" s="51"/>
      <c r="O155" s="65" t="s">
        <v>1718</v>
      </c>
      <c r="P155" s="2445"/>
      <c r="Q155" s="535"/>
    </row>
    <row r="156" spans="1:32" ht="12" customHeight="1">
      <c r="A156" s="1760"/>
      <c r="B156" s="39" t="s">
        <v>2336</v>
      </c>
      <c r="C156" s="51" t="s">
        <v>4630</v>
      </c>
      <c r="E156" s="51"/>
      <c r="F156" s="51"/>
      <c r="G156" s="51"/>
      <c r="H156" s="51"/>
      <c r="I156" s="41"/>
      <c r="J156" s="41"/>
      <c r="K156" s="51"/>
      <c r="L156" s="51"/>
      <c r="M156" s="51"/>
      <c r="O156" s="65" t="s">
        <v>1718</v>
      </c>
      <c r="P156" s="2446"/>
      <c r="Q156" s="536"/>
    </row>
    <row r="157" spans="1:32" ht="12" customHeight="1">
      <c r="A157" s="410" t="s">
        <v>3396</v>
      </c>
      <c r="C157" s="51"/>
      <c r="D157" s="133"/>
      <c r="E157" s="133"/>
      <c r="F157" s="133"/>
      <c r="G157" s="133"/>
      <c r="H157" s="133"/>
      <c r="I157" s="41"/>
      <c r="J157" s="41"/>
      <c r="K157" s="133"/>
      <c r="L157" s="133"/>
      <c r="M157" s="1756"/>
      <c r="N157" s="1756"/>
      <c r="O157" s="1756"/>
      <c r="P157" s="1756"/>
      <c r="Q157" s="1756"/>
      <c r="R157" s="1756"/>
    </row>
    <row r="158" spans="1:32" s="1" customFormat="1" ht="23.4" customHeight="1">
      <c r="A158" s="46" t="s">
        <v>1921</v>
      </c>
      <c r="B158" s="3257" t="s">
        <v>146</v>
      </c>
      <c r="C158" s="3257"/>
      <c r="D158" s="3257"/>
      <c r="E158" s="3257"/>
      <c r="F158" s="3257"/>
      <c r="G158" s="3257"/>
      <c r="H158" s="3257"/>
      <c r="I158" s="3257"/>
      <c r="J158" s="3257"/>
      <c r="K158" s="3257"/>
      <c r="L158" s="3257"/>
      <c r="M158" s="463" t="s">
        <v>1921</v>
      </c>
      <c r="N158" s="3470" t="s">
        <v>1749</v>
      </c>
      <c r="O158" s="3471"/>
      <c r="P158" s="3472" t="s">
        <v>1749</v>
      </c>
      <c r="Q158" s="3473"/>
      <c r="AE158" s="4"/>
      <c r="AF158" s="4"/>
    </row>
    <row r="159" spans="1:32" ht="11.25" customHeight="1">
      <c r="B159" s="140" t="s">
        <v>3644</v>
      </c>
      <c r="D159" s="140"/>
      <c r="E159" s="140"/>
      <c r="F159" s="140"/>
      <c r="G159" s="140"/>
      <c r="H159" s="39"/>
      <c r="I159" s="1760"/>
      <c r="J159" s="1760"/>
      <c r="K159" s="1760"/>
      <c r="L159" s="1748"/>
      <c r="M159" s="1748"/>
      <c r="N159" s="1748"/>
      <c r="O159" s="1748"/>
      <c r="P159" s="1748"/>
      <c r="Q159" s="896"/>
    </row>
    <row r="160" spans="1:32" ht="46.5" customHeight="1">
      <c r="A160" s="3302" t="s">
        <v>4938</v>
      </c>
      <c r="B160" s="3303"/>
      <c r="C160" s="3303"/>
      <c r="D160" s="3303"/>
      <c r="E160" s="3303"/>
      <c r="F160" s="3303"/>
      <c r="G160" s="3303"/>
      <c r="H160" s="3303"/>
      <c r="I160" s="3303"/>
      <c r="J160" s="3303"/>
      <c r="K160" s="3303"/>
      <c r="L160" s="3303"/>
      <c r="M160" s="3303"/>
      <c r="N160" s="3303"/>
      <c r="O160" s="3303"/>
      <c r="P160" s="3303"/>
      <c r="Q160" s="3304"/>
      <c r="R160" s="446" t="s">
        <v>1239</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1841</v>
      </c>
      <c r="C162" s="137"/>
      <c r="D162" s="1751"/>
      <c r="E162" s="1751"/>
      <c r="F162" s="1751"/>
      <c r="G162" s="1751"/>
      <c r="H162" s="1751"/>
      <c r="I162" s="1751"/>
      <c r="J162" s="1751"/>
      <c r="K162" s="1751"/>
      <c r="L162" s="1751"/>
      <c r="M162" s="1751"/>
      <c r="N162" s="1751"/>
      <c r="O162" s="1751"/>
      <c r="P162" s="1751"/>
      <c r="Q162" s="1751"/>
    </row>
    <row r="163" spans="1:32" ht="11.4" customHeight="1">
      <c r="A163" s="3258"/>
      <c r="B163" s="3259"/>
      <c r="C163" s="3259"/>
      <c r="D163" s="3259"/>
      <c r="E163" s="3259"/>
      <c r="F163" s="3259"/>
      <c r="G163" s="3259"/>
      <c r="H163" s="3259"/>
      <c r="I163" s="3259"/>
      <c r="J163" s="3259"/>
      <c r="K163" s="3259"/>
      <c r="L163" s="3259"/>
      <c r="M163" s="3259"/>
      <c r="N163" s="3259"/>
      <c r="O163" s="3259"/>
      <c r="P163" s="3259"/>
      <c r="Q163" s="3260"/>
    </row>
    <row r="164" spans="1:32" ht="3" customHeight="1">
      <c r="A164" s="1748"/>
      <c r="B164" s="1760"/>
      <c r="C164" s="1751"/>
      <c r="D164" s="1751"/>
      <c r="E164" s="1751"/>
      <c r="F164" s="1751"/>
      <c r="G164" s="1751"/>
      <c r="H164" s="1751"/>
      <c r="I164" s="1751"/>
      <c r="J164" s="1751"/>
      <c r="K164" s="1751"/>
      <c r="L164" s="1751"/>
      <c r="M164" s="1751"/>
      <c r="N164" s="1751"/>
      <c r="O164" s="1751"/>
      <c r="P164" s="1751"/>
      <c r="Q164" s="1748"/>
    </row>
    <row r="165" spans="1:32" ht="14.1" customHeight="1">
      <c r="A165" s="1745" t="s">
        <v>289</v>
      </c>
      <c r="B165" s="1745" t="s">
        <v>2619</v>
      </c>
      <c r="C165" s="1745"/>
      <c r="D165" s="1751"/>
      <c r="E165" s="1751"/>
      <c r="F165" s="1751"/>
      <c r="G165" s="1751"/>
      <c r="H165" s="1751"/>
      <c r="I165" s="1751"/>
      <c r="J165" s="1751"/>
      <c r="K165" s="1751"/>
      <c r="O165" s="131" t="s">
        <v>1842</v>
      </c>
      <c r="P165" s="3261"/>
      <c r="Q165" s="3262"/>
    </row>
    <row r="166" spans="1:32" ht="12" customHeight="1">
      <c r="A166" s="46" t="s">
        <v>1957</v>
      </c>
      <c r="B166" s="51" t="s">
        <v>4414</v>
      </c>
      <c r="D166" s="51"/>
      <c r="E166" s="51"/>
      <c r="F166" s="51"/>
      <c r="G166" s="51"/>
      <c r="H166" s="51" t="s">
        <v>2668</v>
      </c>
      <c r="K166" s="3451">
        <v>44196</v>
      </c>
      <c r="L166" s="3452"/>
      <c r="N166" s="51"/>
      <c r="O166" s="463" t="s">
        <v>1957</v>
      </c>
      <c r="P166" s="2443" t="s">
        <v>2933</v>
      </c>
      <c r="Q166" s="532"/>
    </row>
    <row r="167" spans="1:32" ht="12" customHeight="1">
      <c r="A167" s="46" t="s">
        <v>1959</v>
      </c>
      <c r="B167" s="139" t="s">
        <v>148</v>
      </c>
      <c r="D167" s="139"/>
      <c r="E167" s="139"/>
      <c r="F167" s="139" t="str">
        <f>IF(N167="Ground lease/Option","Ground lease/Option:","")</f>
        <v/>
      </c>
      <c r="H167" s="54" t="str">
        <f>IF(N167="Ground lease/Option","Annual Pymt:","")</f>
        <v/>
      </c>
      <c r="I167" s="1635" t="str">
        <f>IF(N167="Ground lease/Option",'Part VI-Revenues &amp; Expenses'!$H$243,"")</f>
        <v/>
      </c>
      <c r="K167" s="443" t="str">
        <f>IF(N167="Ground lease/Option","Term:","")</f>
        <v/>
      </c>
      <c r="L167" s="1634" t="str">
        <f>IF(N167="Ground lease/Option",'Part VI-Revenues &amp; Expenses'!$K$243,"")</f>
        <v/>
      </c>
      <c r="M167" s="463" t="s">
        <v>1959</v>
      </c>
      <c r="N167" s="3453" t="s">
        <v>4939</v>
      </c>
      <c r="O167" s="3454"/>
      <c r="P167" s="3455" t="s">
        <v>1749</v>
      </c>
      <c r="Q167" s="3456"/>
    </row>
    <row r="168" spans="1:32" ht="12" customHeight="1">
      <c r="A168" s="46" t="s">
        <v>738</v>
      </c>
      <c r="B168" s="139" t="s">
        <v>671</v>
      </c>
      <c r="D168" s="139"/>
      <c r="E168" s="139"/>
      <c r="F168" s="139"/>
      <c r="G168" s="139"/>
      <c r="H168" s="139"/>
      <c r="J168" s="463" t="s">
        <v>738</v>
      </c>
      <c r="K168" s="3288" t="s">
        <v>4940</v>
      </c>
      <c r="L168" s="3289"/>
      <c r="M168" s="3289"/>
      <c r="N168" s="3289"/>
      <c r="O168" s="3289"/>
      <c r="P168" s="3290"/>
      <c r="Q168" s="532"/>
    </row>
    <row r="169" spans="1:32" ht="12" customHeight="1">
      <c r="B169" s="140" t="s">
        <v>3644</v>
      </c>
      <c r="D169" s="140"/>
      <c r="E169" s="140"/>
      <c r="F169" s="140"/>
      <c r="G169" s="140"/>
      <c r="H169" s="39"/>
      <c r="I169" s="1760"/>
      <c r="J169" s="1760"/>
      <c r="K169" s="1760"/>
      <c r="L169" s="1748"/>
      <c r="M169" s="1748"/>
      <c r="N169" s="1748"/>
      <c r="O169" s="1748"/>
      <c r="P169" s="1748"/>
      <c r="Q169" s="896"/>
    </row>
    <row r="170" spans="1:32" ht="23.4" customHeight="1">
      <c r="A170" s="3302" t="s">
        <v>4941</v>
      </c>
      <c r="B170" s="3303"/>
      <c r="C170" s="3303"/>
      <c r="D170" s="3303"/>
      <c r="E170" s="3303"/>
      <c r="F170" s="3303"/>
      <c r="G170" s="3303"/>
      <c r="H170" s="3303"/>
      <c r="I170" s="3303"/>
      <c r="J170" s="3303"/>
      <c r="K170" s="3303"/>
      <c r="L170" s="3303"/>
      <c r="M170" s="3303"/>
      <c r="N170" s="3303"/>
      <c r="O170" s="3303"/>
      <c r="P170" s="3303"/>
      <c r="Q170" s="3304"/>
      <c r="U170" s="135"/>
      <c r="V170" s="135"/>
      <c r="W170" s="135"/>
      <c r="X170" s="135"/>
      <c r="Y170" s="135"/>
      <c r="Z170" s="135"/>
      <c r="AA170" s="135"/>
      <c r="AB170" s="135"/>
      <c r="AC170" s="135"/>
      <c r="AD170" s="135"/>
      <c r="AE170" s="465"/>
    </row>
    <row r="171" spans="1:32" ht="12" customHeight="1">
      <c r="B171" s="136" t="s">
        <v>1841</v>
      </c>
      <c r="C171" s="137"/>
      <c r="D171" s="1751"/>
      <c r="E171" s="1751"/>
      <c r="F171" s="1751"/>
      <c r="G171" s="1751"/>
      <c r="H171" s="1751"/>
      <c r="I171" s="1751"/>
      <c r="J171" s="1751"/>
      <c r="K171" s="1751"/>
      <c r="L171" s="1751"/>
      <c r="M171" s="1751"/>
      <c r="N171" s="1751"/>
      <c r="O171" s="1751"/>
      <c r="P171" s="1751"/>
      <c r="Q171" s="1751"/>
    </row>
    <row r="172" spans="1:32" ht="11.4" customHeight="1">
      <c r="A172" s="3258"/>
      <c r="B172" s="3259"/>
      <c r="C172" s="3259"/>
      <c r="D172" s="3259"/>
      <c r="E172" s="3259"/>
      <c r="F172" s="3259"/>
      <c r="G172" s="3259"/>
      <c r="H172" s="3259"/>
      <c r="I172" s="3259"/>
      <c r="J172" s="3259"/>
      <c r="K172" s="3259"/>
      <c r="L172" s="3259"/>
      <c r="M172" s="3259"/>
      <c r="N172" s="3259"/>
      <c r="O172" s="3259"/>
      <c r="P172" s="3259"/>
      <c r="Q172" s="3260"/>
    </row>
    <row r="173" spans="1:32" ht="3" customHeight="1">
      <c r="A173" s="1748"/>
      <c r="B173" s="1760"/>
      <c r="C173" s="1751"/>
      <c r="D173" s="1751"/>
      <c r="E173" s="1751"/>
      <c r="F173" s="1751"/>
      <c r="G173" s="1751"/>
      <c r="H173" s="1751"/>
      <c r="I173" s="1751"/>
      <c r="J173" s="1751"/>
      <c r="K173" s="1751"/>
      <c r="L173" s="1751"/>
      <c r="M173" s="1751"/>
      <c r="Q173" s="1748"/>
    </row>
    <row r="174" spans="1:32" ht="14.1" customHeight="1">
      <c r="A174" s="1745" t="s">
        <v>422</v>
      </c>
      <c r="B174" s="1745" t="s">
        <v>2620</v>
      </c>
      <c r="C174" s="1745"/>
      <c r="D174" s="1751"/>
      <c r="E174" s="1751"/>
      <c r="F174" s="1751"/>
      <c r="G174" s="1751"/>
      <c r="H174" s="1751"/>
      <c r="I174" s="1751"/>
      <c r="J174" s="1751"/>
      <c r="K174" s="1751"/>
      <c r="L174" s="1751"/>
      <c r="M174" s="1751"/>
      <c r="O174" s="131" t="s">
        <v>1842</v>
      </c>
      <c r="P174" s="3261"/>
      <c r="Q174" s="3262"/>
    </row>
    <row r="175" spans="1:32" ht="21.75" customHeight="1">
      <c r="A175" s="141" t="s">
        <v>1957</v>
      </c>
      <c r="B175" s="3257" t="s">
        <v>3635</v>
      </c>
      <c r="C175" s="3257"/>
      <c r="D175" s="3257"/>
      <c r="E175" s="3257"/>
      <c r="F175" s="3257"/>
      <c r="G175" s="3257"/>
      <c r="H175" s="3257"/>
      <c r="I175" s="3257"/>
      <c r="J175" s="3257"/>
      <c r="K175" s="3257"/>
      <c r="L175" s="3257"/>
      <c r="M175" s="3257"/>
      <c r="N175" s="3257"/>
      <c r="O175" s="160" t="s">
        <v>1957</v>
      </c>
      <c r="P175" s="2456" t="s">
        <v>2933</v>
      </c>
      <c r="Q175" s="1148"/>
    </row>
    <row r="176" spans="1:32" ht="22.35" customHeight="1">
      <c r="A176" s="141" t="s">
        <v>1959</v>
      </c>
      <c r="B176" s="3257" t="s">
        <v>4430</v>
      </c>
      <c r="C176" s="3257"/>
      <c r="D176" s="3257"/>
      <c r="E176" s="3257"/>
      <c r="F176" s="3257"/>
      <c r="G176" s="3257"/>
      <c r="H176" s="3257"/>
      <c r="I176" s="3257"/>
      <c r="J176" s="3257"/>
      <c r="K176" s="3257"/>
      <c r="L176" s="3257"/>
      <c r="M176" s="3257"/>
      <c r="N176" s="3257"/>
      <c r="O176" s="160" t="s">
        <v>1959</v>
      </c>
      <c r="P176" s="2454" t="s">
        <v>4942</v>
      </c>
      <c r="Q176" s="1754"/>
    </row>
    <row r="177" spans="1:32" ht="22.35" customHeight="1">
      <c r="A177" s="141" t="s">
        <v>738</v>
      </c>
      <c r="B177" s="3257" t="s">
        <v>3636</v>
      </c>
      <c r="C177" s="3257"/>
      <c r="D177" s="3257"/>
      <c r="E177" s="3257"/>
      <c r="F177" s="3257"/>
      <c r="G177" s="3257"/>
      <c r="H177" s="3257"/>
      <c r="I177" s="3257"/>
      <c r="J177" s="3257"/>
      <c r="K177" s="3257"/>
      <c r="L177" s="3257"/>
      <c r="M177" s="3257"/>
      <c r="N177" s="3257"/>
      <c r="O177" s="160" t="s">
        <v>738</v>
      </c>
      <c r="P177" s="2454" t="s">
        <v>4942</v>
      </c>
      <c r="Q177" s="1754"/>
    </row>
    <row r="178" spans="1:32" ht="21.75" customHeight="1">
      <c r="A178" s="141" t="s">
        <v>2088</v>
      </c>
      <c r="B178" s="3257" t="s">
        <v>4575</v>
      </c>
      <c r="C178" s="3257"/>
      <c r="D178" s="3257"/>
      <c r="E178" s="3257"/>
      <c r="F178" s="3257"/>
      <c r="G178" s="3257"/>
      <c r="H178" s="3257"/>
      <c r="I178" s="3257"/>
      <c r="J178" s="3257"/>
      <c r="K178" s="3257"/>
      <c r="L178" s="3257"/>
      <c r="M178" s="3257"/>
      <c r="N178" s="3257"/>
      <c r="O178" s="160" t="s">
        <v>2088</v>
      </c>
      <c r="P178" s="2457" t="s">
        <v>4942</v>
      </c>
      <c r="Q178" s="1763"/>
    </row>
    <row r="179" spans="1:32" ht="12" customHeight="1">
      <c r="B179" s="140" t="s">
        <v>3644</v>
      </c>
      <c r="D179" s="140"/>
      <c r="E179" s="140"/>
      <c r="F179" s="140"/>
      <c r="G179" s="140"/>
      <c r="H179" s="39"/>
      <c r="I179" s="1760"/>
      <c r="J179" s="1760"/>
      <c r="K179" s="1760"/>
      <c r="L179" s="1748"/>
      <c r="M179" s="1748"/>
      <c r="N179" s="1748"/>
      <c r="O179" s="1748"/>
      <c r="P179" s="1748"/>
      <c r="Q179" s="896"/>
    </row>
    <row r="180" spans="1:32" ht="11.4" customHeight="1">
      <c r="A180" s="3302" t="s">
        <v>4943</v>
      </c>
      <c r="B180" s="3303"/>
      <c r="C180" s="3303"/>
      <c r="D180" s="3303"/>
      <c r="E180" s="3303"/>
      <c r="F180" s="3303"/>
      <c r="G180" s="3303"/>
      <c r="H180" s="3303"/>
      <c r="I180" s="3303"/>
      <c r="J180" s="3303"/>
      <c r="K180" s="3303"/>
      <c r="L180" s="3303"/>
      <c r="M180" s="3303"/>
      <c r="N180" s="3303"/>
      <c r="O180" s="3303"/>
      <c r="P180" s="3303"/>
      <c r="Q180" s="3304"/>
      <c r="U180" s="135"/>
      <c r="V180" s="135"/>
      <c r="W180" s="135"/>
      <c r="X180" s="135"/>
      <c r="Y180" s="135"/>
      <c r="Z180" s="135"/>
      <c r="AA180" s="135"/>
      <c r="AB180" s="135"/>
      <c r="AC180" s="135"/>
      <c r="AD180" s="135"/>
      <c r="AE180" s="465"/>
    </row>
    <row r="181" spans="1:32" ht="12" customHeight="1">
      <c r="B181" s="136" t="s">
        <v>1841</v>
      </c>
      <c r="C181" s="137"/>
      <c r="D181" s="1751"/>
      <c r="E181" s="1751"/>
      <c r="F181" s="1751"/>
      <c r="G181" s="1751"/>
      <c r="H181" s="1751"/>
      <c r="I181" s="1751"/>
      <c r="J181" s="1751"/>
      <c r="K181" s="1751"/>
      <c r="L181" s="1751"/>
      <c r="M181" s="1751"/>
      <c r="N181" s="1751"/>
      <c r="O181" s="1751"/>
      <c r="P181" s="1751"/>
      <c r="Q181" s="1751"/>
    </row>
    <row r="182" spans="1:32" ht="11.4" customHeight="1">
      <c r="A182" s="3258"/>
      <c r="B182" s="3259"/>
      <c r="C182" s="3259"/>
      <c r="D182" s="3259"/>
      <c r="E182" s="3259"/>
      <c r="F182" s="3259"/>
      <c r="G182" s="3259"/>
      <c r="H182" s="3259"/>
      <c r="I182" s="3259"/>
      <c r="J182" s="3259"/>
      <c r="K182" s="3259"/>
      <c r="L182" s="3259"/>
      <c r="M182" s="3259"/>
      <c r="N182" s="3259"/>
      <c r="O182" s="3259"/>
      <c r="P182" s="3259"/>
      <c r="Q182" s="3260"/>
    </row>
    <row r="183" spans="1:32" ht="3" customHeight="1">
      <c r="B183" s="1760"/>
      <c r="C183" s="1751"/>
      <c r="D183" s="1751"/>
      <c r="E183" s="1751"/>
      <c r="F183" s="1751"/>
      <c r="G183" s="1751"/>
      <c r="H183" s="1751"/>
      <c r="I183" s="1751"/>
      <c r="J183" s="1751"/>
      <c r="K183" s="1751"/>
      <c r="L183" s="1751"/>
      <c r="M183" s="1751"/>
      <c r="N183" s="1751"/>
      <c r="O183" s="1751"/>
      <c r="P183" s="1751"/>
      <c r="Q183" s="1748"/>
    </row>
    <row r="184" spans="1:32" ht="14.1" customHeight="1">
      <c r="A184" s="1731" t="s">
        <v>359</v>
      </c>
      <c r="B184" s="3175" t="s">
        <v>2621</v>
      </c>
      <c r="C184" s="3175"/>
      <c r="D184" s="3175"/>
      <c r="O184" s="131" t="s">
        <v>1842</v>
      </c>
      <c r="P184" s="3261"/>
      <c r="Q184" s="3262"/>
    </row>
    <row r="185" spans="1:32" ht="12" customHeight="1">
      <c r="A185" s="141" t="s">
        <v>1957</v>
      </c>
      <c r="B185" s="879" t="s">
        <v>464</v>
      </c>
      <c r="D185" s="879"/>
      <c r="E185" s="879"/>
      <c r="F185" s="879"/>
      <c r="G185" s="879"/>
      <c r="H185" s="879"/>
      <c r="I185" s="879"/>
      <c r="J185" s="879"/>
      <c r="K185" s="879"/>
      <c r="L185" s="879"/>
      <c r="M185" s="879"/>
      <c r="O185" s="160" t="s">
        <v>1957</v>
      </c>
      <c r="P185" s="2444" t="s">
        <v>2933</v>
      </c>
      <c r="Q185" s="534"/>
    </row>
    <row r="186" spans="1:32" ht="12" customHeight="1">
      <c r="A186" s="141" t="s">
        <v>1959</v>
      </c>
      <c r="B186" s="879" t="s">
        <v>2606</v>
      </c>
      <c r="D186" s="879"/>
      <c r="E186" s="879"/>
      <c r="F186" s="879"/>
      <c r="G186" s="879"/>
      <c r="H186" s="879"/>
      <c r="I186" s="879"/>
      <c r="J186" s="879"/>
      <c r="K186" s="879"/>
      <c r="L186" s="879"/>
      <c r="M186" s="879"/>
      <c r="O186" s="160" t="s">
        <v>1959</v>
      </c>
      <c r="P186" s="2445" t="s">
        <v>2933</v>
      </c>
      <c r="Q186" s="535"/>
    </row>
    <row r="187" spans="1:32" ht="12" customHeight="1">
      <c r="A187" s="141" t="s">
        <v>738</v>
      </c>
      <c r="B187" s="879" t="s">
        <v>2607</v>
      </c>
      <c r="D187" s="879"/>
      <c r="E187" s="879"/>
      <c r="F187" s="879"/>
      <c r="G187" s="879"/>
      <c r="H187" s="879"/>
      <c r="I187" s="879"/>
      <c r="J187" s="139" t="s">
        <v>4592</v>
      </c>
      <c r="L187" s="879"/>
      <c r="M187" s="879"/>
      <c r="O187" s="160" t="s">
        <v>738</v>
      </c>
      <c r="P187" s="2445" t="s">
        <v>2933</v>
      </c>
      <c r="Q187" s="535"/>
    </row>
    <row r="188" spans="1:32" ht="12" customHeight="1">
      <c r="B188" s="39" t="s">
        <v>1716</v>
      </c>
      <c r="C188" s="897" t="s">
        <v>2608</v>
      </c>
      <c r="G188" s="879"/>
      <c r="H188" s="879"/>
      <c r="J188" s="879"/>
      <c r="K188" s="879"/>
      <c r="L188" s="879"/>
      <c r="M188" s="879"/>
      <c r="O188" s="443" t="s">
        <v>1716</v>
      </c>
      <c r="P188" s="2445" t="s">
        <v>2933</v>
      </c>
      <c r="Q188" s="535"/>
    </row>
    <row r="189" spans="1:32" ht="12" customHeight="1">
      <c r="A189" s="139"/>
      <c r="B189" s="39" t="s">
        <v>1717</v>
      </c>
      <c r="C189" s="897" t="s">
        <v>2609</v>
      </c>
      <c r="G189" s="879"/>
      <c r="H189" s="879"/>
      <c r="I189" s="879"/>
      <c r="J189" s="879"/>
      <c r="K189" s="879"/>
      <c r="L189" s="879"/>
      <c r="M189" s="879"/>
      <c r="O189" s="443" t="s">
        <v>1717</v>
      </c>
      <c r="P189" s="2445" t="s">
        <v>2933</v>
      </c>
      <c r="Q189" s="535"/>
    </row>
    <row r="190" spans="1:32" s="132" customFormat="1" ht="21.75" customHeight="1">
      <c r="A190" s="141"/>
      <c r="B190" s="477" t="s">
        <v>1718</v>
      </c>
      <c r="C190" s="3257" t="s">
        <v>3637</v>
      </c>
      <c r="D190" s="3257"/>
      <c r="E190" s="3257"/>
      <c r="F190" s="3257"/>
      <c r="G190" s="3257"/>
      <c r="H190" s="3257"/>
      <c r="I190" s="3257"/>
      <c r="J190" s="3257"/>
      <c r="K190" s="3257"/>
      <c r="L190" s="3257"/>
      <c r="M190" s="3257"/>
      <c r="N190" s="3257"/>
      <c r="O190" s="160" t="s">
        <v>1718</v>
      </c>
      <c r="P190" s="2454" t="s">
        <v>2933</v>
      </c>
      <c r="Q190" s="1754"/>
      <c r="AE190" s="466"/>
      <c r="AF190" s="466"/>
    </row>
    <row r="191" spans="1:32" ht="12" customHeight="1">
      <c r="A191" s="141"/>
      <c r="B191" s="39" t="s">
        <v>2336</v>
      </c>
      <c r="C191" s="897" t="s">
        <v>2610</v>
      </c>
      <c r="G191" s="879"/>
      <c r="H191" s="879"/>
      <c r="I191" s="879"/>
      <c r="J191" s="879"/>
      <c r="K191" s="879"/>
      <c r="L191" s="879"/>
      <c r="M191" s="879"/>
      <c r="O191" s="443" t="s">
        <v>2336</v>
      </c>
      <c r="P191" s="2445" t="s">
        <v>2933</v>
      </c>
      <c r="Q191" s="535"/>
    </row>
    <row r="192" spans="1:32" s="132" customFormat="1" ht="21.75" customHeight="1">
      <c r="A192" s="141"/>
      <c r="B192" s="477" t="s">
        <v>1530</v>
      </c>
      <c r="C192" s="3257" t="s">
        <v>2611</v>
      </c>
      <c r="D192" s="3257"/>
      <c r="E192" s="3257"/>
      <c r="F192" s="3257"/>
      <c r="G192" s="3257"/>
      <c r="H192" s="3257"/>
      <c r="I192" s="3257"/>
      <c r="J192" s="3257"/>
      <c r="K192" s="3257"/>
      <c r="L192" s="3257"/>
      <c r="M192" s="3257"/>
      <c r="N192" s="3257"/>
      <c r="O192" s="160" t="s">
        <v>1530</v>
      </c>
      <c r="P192" s="2454" t="s">
        <v>4942</v>
      </c>
      <c r="Q192" s="1754"/>
      <c r="AE192" s="466"/>
      <c r="AF192" s="466"/>
    </row>
    <row r="193" spans="1:32" s="132" customFormat="1" ht="21.75" customHeight="1">
      <c r="A193" s="141"/>
      <c r="B193" s="477" t="s">
        <v>1531</v>
      </c>
      <c r="C193" s="3257" t="s">
        <v>3761</v>
      </c>
      <c r="D193" s="3257"/>
      <c r="E193" s="3257"/>
      <c r="F193" s="3257"/>
      <c r="G193" s="3257"/>
      <c r="H193" s="3257"/>
      <c r="I193" s="3257"/>
      <c r="J193" s="3257"/>
      <c r="K193" s="3257"/>
      <c r="L193" s="3257"/>
      <c r="M193" s="3257"/>
      <c r="N193" s="3257"/>
      <c r="O193" s="160" t="s">
        <v>1531</v>
      </c>
      <c r="P193" s="2454" t="s">
        <v>4942</v>
      </c>
      <c r="Q193" s="1754"/>
      <c r="AE193" s="466"/>
      <c r="AF193" s="466"/>
    </row>
    <row r="194" spans="1:32" ht="21.75" customHeight="1">
      <c r="A194" s="141" t="s">
        <v>2088</v>
      </c>
      <c r="B194" s="3257" t="s">
        <v>2612</v>
      </c>
      <c r="C194" s="3257"/>
      <c r="D194" s="3257"/>
      <c r="E194" s="3257"/>
      <c r="F194" s="3257"/>
      <c r="G194" s="3257"/>
      <c r="H194" s="3257"/>
      <c r="I194" s="3257"/>
      <c r="J194" s="3257"/>
      <c r="K194" s="3257"/>
      <c r="L194" s="3257"/>
      <c r="M194" s="3257"/>
      <c r="N194" s="3257"/>
      <c r="O194" s="160" t="s">
        <v>2088</v>
      </c>
      <c r="P194" s="2454" t="s">
        <v>2933</v>
      </c>
      <c r="Q194" s="1754"/>
    </row>
    <row r="195" spans="1:32" ht="12" customHeight="1">
      <c r="A195" s="141" t="s">
        <v>1714</v>
      </c>
      <c r="B195" s="879" t="s">
        <v>2349</v>
      </c>
      <c r="D195" s="879"/>
      <c r="E195" s="879"/>
      <c r="F195" s="879"/>
      <c r="G195" s="879"/>
      <c r="H195" s="879"/>
      <c r="I195" s="879"/>
      <c r="J195" s="879"/>
      <c r="K195" s="879"/>
      <c r="L195" s="879"/>
      <c r="M195" s="879"/>
      <c r="O195" s="160" t="s">
        <v>1714</v>
      </c>
      <c r="P195" s="2446" t="s">
        <v>2933</v>
      </c>
      <c r="Q195" s="536"/>
    </row>
    <row r="196" spans="1:32" ht="12" customHeight="1">
      <c r="B196" s="140" t="s">
        <v>3644</v>
      </c>
      <c r="D196" s="140"/>
      <c r="E196" s="140"/>
      <c r="F196" s="140"/>
      <c r="G196" s="140"/>
      <c r="H196" s="39"/>
      <c r="I196" s="1760"/>
      <c r="J196" s="1760"/>
      <c r="K196" s="1760"/>
      <c r="L196" s="1748"/>
      <c r="M196" s="1748"/>
      <c r="N196" s="1748"/>
      <c r="O196" s="1748"/>
      <c r="P196" s="1748"/>
      <c r="Q196" s="896"/>
    </row>
    <row r="197" spans="1:32" ht="33" customHeight="1">
      <c r="A197" s="3302" t="s">
        <v>4966</v>
      </c>
      <c r="B197" s="3303"/>
      <c r="C197" s="3303"/>
      <c r="D197" s="3303"/>
      <c r="E197" s="3303"/>
      <c r="F197" s="3303"/>
      <c r="G197" s="3303"/>
      <c r="H197" s="3303"/>
      <c r="I197" s="3303"/>
      <c r="J197" s="3303"/>
      <c r="K197" s="3303"/>
      <c r="L197" s="3303"/>
      <c r="M197" s="3303"/>
      <c r="N197" s="3303"/>
      <c r="O197" s="3303"/>
      <c r="P197" s="3303"/>
      <c r="Q197" s="3304"/>
      <c r="U197" s="135"/>
      <c r="V197" s="135"/>
      <c r="W197" s="135"/>
      <c r="X197" s="135"/>
      <c r="Y197" s="135"/>
      <c r="Z197" s="135"/>
      <c r="AA197" s="135"/>
      <c r="AB197" s="135"/>
      <c r="AC197" s="135"/>
      <c r="AD197" s="135"/>
      <c r="AE197" s="465"/>
    </row>
    <row r="198" spans="1:32" ht="12" customHeight="1">
      <c r="B198" s="136" t="s">
        <v>1841</v>
      </c>
      <c r="C198" s="137"/>
      <c r="D198" s="1751"/>
      <c r="E198" s="1751"/>
      <c r="F198" s="1751"/>
      <c r="G198" s="1751"/>
      <c r="H198" s="1751"/>
      <c r="I198" s="1751"/>
      <c r="J198" s="1751"/>
      <c r="K198" s="1751"/>
      <c r="L198" s="1751"/>
      <c r="M198" s="1751"/>
      <c r="N198" s="1751"/>
      <c r="O198" s="1751"/>
      <c r="P198" s="1751"/>
      <c r="Q198" s="1751"/>
    </row>
    <row r="199" spans="1:32" ht="11.4" customHeight="1">
      <c r="A199" s="3258"/>
      <c r="B199" s="3259"/>
      <c r="C199" s="3259"/>
      <c r="D199" s="3259"/>
      <c r="E199" s="3259"/>
      <c r="F199" s="3259"/>
      <c r="G199" s="3259"/>
      <c r="H199" s="3259"/>
      <c r="I199" s="3259"/>
      <c r="J199" s="3259"/>
      <c r="K199" s="3259"/>
      <c r="L199" s="3259"/>
      <c r="M199" s="3259"/>
      <c r="N199" s="3259"/>
      <c r="O199" s="3259"/>
      <c r="P199" s="3259"/>
      <c r="Q199" s="3260"/>
    </row>
    <row r="200" spans="1:32" ht="3" customHeight="1">
      <c r="A200" s="1748"/>
      <c r="B200" s="1760"/>
      <c r="C200" s="1751"/>
      <c r="D200" s="1751"/>
      <c r="E200" s="1751"/>
      <c r="F200" s="1751"/>
      <c r="G200" s="1751"/>
      <c r="H200" s="1751"/>
      <c r="I200" s="1751"/>
      <c r="J200" s="1751"/>
      <c r="K200" s="1751"/>
      <c r="L200" s="1751"/>
      <c r="M200" s="1751"/>
      <c r="N200" s="1751"/>
      <c r="O200" s="1751"/>
      <c r="P200" s="1751"/>
      <c r="Q200" s="1748"/>
    </row>
    <row r="201" spans="1:32" ht="14.1" customHeight="1">
      <c r="A201" s="1745" t="s">
        <v>360</v>
      </c>
      <c r="B201" s="1745" t="s">
        <v>2622</v>
      </c>
      <c r="C201" s="1745"/>
      <c r="D201" s="1751"/>
      <c r="E201" s="146"/>
      <c r="F201" s="146"/>
      <c r="G201" s="1751"/>
      <c r="J201" s="898"/>
      <c r="K201" s="898"/>
      <c r="L201" s="898"/>
      <c r="M201" s="898"/>
      <c r="N201" s="898"/>
      <c r="O201" s="131" t="s">
        <v>1842</v>
      </c>
      <c r="P201" s="3261"/>
      <c r="Q201" s="3262"/>
    </row>
    <row r="202" spans="1:32" ht="22.5" customHeight="1">
      <c r="A202" s="3468" t="s">
        <v>4746</v>
      </c>
      <c r="B202" s="3468"/>
      <c r="C202" s="3468"/>
      <c r="D202" s="3468"/>
      <c r="E202" s="3468"/>
      <c r="F202" s="3468"/>
      <c r="G202" s="3468"/>
      <c r="H202" s="3468"/>
      <c r="I202" s="3468"/>
      <c r="J202" s="3468"/>
      <c r="K202" s="3468"/>
      <c r="L202" s="3468"/>
      <c r="M202" s="3468"/>
      <c r="N202" s="3468"/>
      <c r="O202" s="3468"/>
      <c r="P202" s="3468"/>
      <c r="Q202" s="3468"/>
    </row>
    <row r="203" spans="1:32" ht="11.25" customHeight="1">
      <c r="A203" s="138"/>
      <c r="B203" s="139" t="s">
        <v>95</v>
      </c>
      <c r="D203" s="139"/>
      <c r="E203" s="139"/>
      <c r="F203" s="139"/>
      <c r="G203" s="139"/>
      <c r="H203" s="65" t="s">
        <v>1716</v>
      </c>
      <c r="I203" s="51" t="s">
        <v>150</v>
      </c>
      <c r="J203" s="3305" t="s">
        <v>4944</v>
      </c>
      <c r="K203" s="3306"/>
      <c r="L203" s="3306"/>
      <c r="M203" s="3306"/>
      <c r="N203" s="3307"/>
      <c r="O203" s="65" t="s">
        <v>1716</v>
      </c>
      <c r="P203" s="2444"/>
      <c r="Q203" s="534"/>
    </row>
    <row r="204" spans="1:32" ht="11.25" customHeight="1">
      <c r="A204" s="138"/>
      <c r="B204" s="140" t="s">
        <v>3644</v>
      </c>
      <c r="C204" s="104"/>
      <c r="D204" s="104"/>
      <c r="E204" s="104"/>
      <c r="F204" s="104"/>
      <c r="H204" s="65" t="s">
        <v>1717</v>
      </c>
      <c r="I204" s="51" t="s">
        <v>1577</v>
      </c>
      <c r="J204" s="3281" t="s">
        <v>4945</v>
      </c>
      <c r="K204" s="3308"/>
      <c r="L204" s="3308"/>
      <c r="M204" s="3308"/>
      <c r="N204" s="3282"/>
      <c r="O204" s="65" t="s">
        <v>1717</v>
      </c>
      <c r="P204" s="2446" t="s">
        <v>2933</v>
      </c>
      <c r="Q204" s="536"/>
    </row>
    <row r="205" spans="1:32" ht="11.4" customHeight="1">
      <c r="A205" s="3302" t="s">
        <v>4946</v>
      </c>
      <c r="B205" s="3303"/>
      <c r="C205" s="3303"/>
      <c r="D205" s="3303"/>
      <c r="E205" s="3303"/>
      <c r="F205" s="3303"/>
      <c r="G205" s="3303"/>
      <c r="H205" s="3303"/>
      <c r="I205" s="3303"/>
      <c r="J205" s="3303"/>
      <c r="K205" s="3303"/>
      <c r="L205" s="3303"/>
      <c r="M205" s="3303"/>
      <c r="N205" s="3303"/>
      <c r="O205" s="3303"/>
      <c r="P205" s="3303"/>
      <c r="Q205" s="3304"/>
      <c r="U205" s="135"/>
      <c r="V205" s="135"/>
      <c r="W205" s="135"/>
      <c r="X205" s="135"/>
      <c r="Y205" s="135"/>
      <c r="Z205" s="135"/>
      <c r="AA205" s="135"/>
      <c r="AB205" s="135"/>
      <c r="AC205" s="135"/>
      <c r="AD205" s="135"/>
      <c r="AE205" s="465"/>
    </row>
    <row r="206" spans="1:32" ht="11.25" customHeight="1">
      <c r="B206" s="136" t="s">
        <v>1841</v>
      </c>
      <c r="C206" s="137"/>
      <c r="D206" s="1751"/>
      <c r="E206" s="1751"/>
      <c r="F206" s="1751"/>
      <c r="G206" s="1751"/>
      <c r="H206" s="1751"/>
      <c r="I206" s="1751"/>
      <c r="J206" s="1751"/>
      <c r="K206" s="1751"/>
      <c r="L206" s="1751"/>
      <c r="M206" s="1751"/>
      <c r="N206" s="1751"/>
      <c r="O206" s="1751"/>
      <c r="P206" s="1751"/>
      <c r="Q206" s="1751"/>
    </row>
    <row r="207" spans="1:32" ht="11.4" customHeight="1">
      <c r="A207" s="3258"/>
      <c r="B207" s="3259"/>
      <c r="C207" s="3259"/>
      <c r="D207" s="3259"/>
      <c r="E207" s="3259"/>
      <c r="F207" s="3259"/>
      <c r="G207" s="3259"/>
      <c r="H207" s="3259"/>
      <c r="I207" s="3259"/>
      <c r="J207" s="3259"/>
      <c r="K207" s="3259"/>
      <c r="L207" s="3259"/>
      <c r="M207" s="3259"/>
      <c r="N207" s="3259"/>
      <c r="O207" s="3259"/>
      <c r="P207" s="3259"/>
      <c r="Q207" s="3260"/>
    </row>
    <row r="208" spans="1:32" ht="4.3499999999999996" customHeight="1">
      <c r="B208" s="1760"/>
      <c r="C208" s="1751"/>
      <c r="D208" s="1751"/>
      <c r="E208" s="1751"/>
      <c r="F208" s="1751"/>
      <c r="G208" s="1751"/>
      <c r="H208" s="1751"/>
      <c r="I208" s="1751"/>
      <c r="J208" s="1751"/>
      <c r="K208" s="1751"/>
      <c r="L208" s="1751"/>
      <c r="M208" s="1751"/>
      <c r="Q208" s="896"/>
    </row>
    <row r="209" spans="1:32" ht="14.1" customHeight="1">
      <c r="A209" s="1745" t="s">
        <v>361</v>
      </c>
      <c r="B209" s="3" t="s">
        <v>2623</v>
      </c>
      <c r="C209" s="3"/>
      <c r="D209" s="86"/>
      <c r="E209" s="86"/>
      <c r="F209" s="86"/>
      <c r="G209" s="1751"/>
      <c r="H209" s="1751"/>
      <c r="I209" s="1751"/>
      <c r="J209" s="1751"/>
      <c r="K209" s="1751"/>
      <c r="L209" s="1751"/>
      <c r="M209" s="1751"/>
      <c r="O209" s="131" t="s">
        <v>1842</v>
      </c>
      <c r="P209" s="3261"/>
      <c r="Q209" s="3262"/>
    </row>
    <row r="210" spans="1:32" ht="11.4" customHeight="1">
      <c r="A210" s="141" t="s">
        <v>1957</v>
      </c>
      <c r="B210" s="3257" t="s">
        <v>1824</v>
      </c>
      <c r="C210" s="3257"/>
      <c r="D210" s="3257"/>
      <c r="E210" s="3257"/>
      <c r="F210" s="3257"/>
      <c r="G210" s="3257"/>
      <c r="H210" s="65" t="s">
        <v>1716</v>
      </c>
      <c r="I210" s="51" t="s">
        <v>624</v>
      </c>
      <c r="J210" s="3305" t="s">
        <v>3562</v>
      </c>
      <c r="K210" s="3306"/>
      <c r="L210" s="3306"/>
      <c r="M210" s="3306"/>
      <c r="N210" s="3307"/>
      <c r="O210" s="160" t="s">
        <v>1468</v>
      </c>
      <c r="P210" s="2458" t="s">
        <v>2933</v>
      </c>
      <c r="Q210" s="1704"/>
    </row>
    <row r="211" spans="1:32" ht="11.4" customHeight="1">
      <c r="A211" s="149"/>
      <c r="B211" s="3257"/>
      <c r="C211" s="3257"/>
      <c r="D211" s="3257"/>
      <c r="E211" s="3257"/>
      <c r="F211" s="3257"/>
      <c r="G211" s="3257"/>
      <c r="H211" s="65" t="s">
        <v>1717</v>
      </c>
      <c r="I211" s="51" t="s">
        <v>114</v>
      </c>
      <c r="J211" s="3281" t="s">
        <v>3562</v>
      </c>
      <c r="K211" s="3308"/>
      <c r="L211" s="3308"/>
      <c r="M211" s="3308"/>
      <c r="N211" s="3282"/>
      <c r="O211" s="160" t="s">
        <v>1717</v>
      </c>
      <c r="P211" s="2445" t="s">
        <v>2933</v>
      </c>
      <c r="Q211" s="535"/>
    </row>
    <row r="212" spans="1:32" ht="12" customHeight="1">
      <c r="A212" s="141" t="s">
        <v>1959</v>
      </c>
      <c r="B212" s="51" t="s">
        <v>3766</v>
      </c>
      <c r="D212" s="51"/>
      <c r="E212" s="51"/>
      <c r="F212" s="51"/>
      <c r="G212" s="51"/>
      <c r="H212" s="51"/>
      <c r="I212" s="51"/>
      <c r="J212" s="51"/>
      <c r="K212" s="41"/>
      <c r="L212" s="51"/>
      <c r="M212" s="51"/>
      <c r="O212" s="463" t="s">
        <v>1959</v>
      </c>
      <c r="P212" s="2445" t="s">
        <v>2936</v>
      </c>
      <c r="Q212" s="535"/>
    </row>
    <row r="213" spans="1:32" ht="12" customHeight="1">
      <c r="A213" s="46" t="s">
        <v>738</v>
      </c>
      <c r="B213" s="51" t="s">
        <v>3767</v>
      </c>
      <c r="D213" s="51"/>
      <c r="E213" s="51"/>
      <c r="F213" s="51"/>
      <c r="G213" s="51"/>
      <c r="H213" s="51"/>
      <c r="I213" s="51"/>
      <c r="J213" s="51"/>
      <c r="K213" s="41"/>
      <c r="L213" s="51"/>
      <c r="M213" s="51"/>
      <c r="O213" s="463" t="s">
        <v>738</v>
      </c>
      <c r="P213" s="2446" t="s">
        <v>2936</v>
      </c>
      <c r="Q213" s="536"/>
    </row>
    <row r="214" spans="1:32" ht="11.25" customHeight="1">
      <c r="B214" s="140" t="s">
        <v>3644</v>
      </c>
      <c r="D214" s="140"/>
      <c r="E214" s="140"/>
      <c r="F214" s="140"/>
      <c r="G214" s="140"/>
      <c r="H214" s="39"/>
      <c r="I214" s="1760"/>
      <c r="J214" s="1760"/>
      <c r="K214" s="1760"/>
      <c r="L214" s="1748"/>
      <c r="M214" s="1748"/>
      <c r="N214" s="1748"/>
      <c r="O214" s="1748"/>
      <c r="P214" s="1748"/>
      <c r="Q214" s="896"/>
    </row>
    <row r="215" spans="1:32" ht="11.4" customHeight="1">
      <c r="A215" s="3302" t="s">
        <v>4947</v>
      </c>
      <c r="B215" s="3303"/>
      <c r="C215" s="3303"/>
      <c r="D215" s="3303"/>
      <c r="E215" s="3303"/>
      <c r="F215" s="3303"/>
      <c r="G215" s="3303"/>
      <c r="H215" s="3303"/>
      <c r="I215" s="3303"/>
      <c r="J215" s="3303"/>
      <c r="K215" s="3303"/>
      <c r="L215" s="3303"/>
      <c r="M215" s="3303"/>
      <c r="N215" s="3303"/>
      <c r="O215" s="3303"/>
      <c r="P215" s="3303"/>
      <c r="Q215" s="3304"/>
      <c r="U215" s="135"/>
      <c r="V215" s="135"/>
      <c r="W215" s="135"/>
      <c r="X215" s="135"/>
      <c r="Y215" s="135"/>
      <c r="Z215" s="135"/>
      <c r="AA215" s="135"/>
      <c r="AB215" s="135"/>
      <c r="AC215" s="135"/>
      <c r="AD215" s="135"/>
      <c r="AE215" s="465"/>
    </row>
    <row r="216" spans="1:32" ht="11.25" customHeight="1">
      <c r="B216" s="136" t="s">
        <v>1841</v>
      </c>
      <c r="C216" s="137"/>
      <c r="D216" s="1751"/>
      <c r="E216" s="1751"/>
      <c r="F216" s="1751"/>
      <c r="G216" s="1751"/>
      <c r="H216" s="1751"/>
      <c r="I216" s="1751"/>
      <c r="J216" s="1751"/>
      <c r="K216" s="1751"/>
      <c r="L216" s="1751"/>
      <c r="M216" s="1751"/>
      <c r="N216" s="1751"/>
      <c r="O216" s="1751"/>
      <c r="P216" s="1751"/>
      <c r="Q216" s="1751"/>
    </row>
    <row r="217" spans="1:32" ht="11.4" customHeight="1">
      <c r="A217" s="3258"/>
      <c r="B217" s="3259"/>
      <c r="C217" s="3259"/>
      <c r="D217" s="3259"/>
      <c r="E217" s="3259"/>
      <c r="F217" s="3259"/>
      <c r="G217" s="3259"/>
      <c r="H217" s="3259"/>
      <c r="I217" s="3259"/>
      <c r="J217" s="3259"/>
      <c r="K217" s="3259"/>
      <c r="L217" s="3259"/>
      <c r="M217" s="3259"/>
      <c r="N217" s="3259"/>
      <c r="O217" s="3259"/>
      <c r="P217" s="3259"/>
      <c r="Q217" s="3260"/>
    </row>
    <row r="218" spans="1:32" ht="3" customHeight="1">
      <c r="A218" s="1748"/>
      <c r="B218" s="1760"/>
      <c r="C218" s="1751"/>
      <c r="D218" s="1751"/>
      <c r="E218" s="1751"/>
      <c r="F218" s="1751"/>
      <c r="G218" s="1751"/>
      <c r="H218" s="1751"/>
      <c r="I218" s="1751"/>
      <c r="J218" s="1751"/>
      <c r="K218" s="1751"/>
      <c r="L218" s="1751"/>
      <c r="M218" s="1751"/>
      <c r="Q218" s="1748"/>
    </row>
    <row r="219" spans="1:32" ht="14.1" customHeight="1">
      <c r="A219" s="1745" t="s">
        <v>1705</v>
      </c>
      <c r="B219" s="1745" t="s">
        <v>2624</v>
      </c>
      <c r="C219" s="113"/>
      <c r="D219" s="1751"/>
      <c r="E219" s="1751"/>
      <c r="F219" s="1751"/>
      <c r="G219" s="1751"/>
      <c r="H219" s="1751"/>
      <c r="I219" s="1751"/>
      <c r="J219" s="1751"/>
      <c r="K219" s="1751"/>
      <c r="L219" s="1751"/>
      <c r="M219" s="1751"/>
      <c r="O219" s="131" t="s">
        <v>1842</v>
      </c>
      <c r="P219" s="3261"/>
      <c r="Q219" s="3262"/>
    </row>
    <row r="220" spans="1:32" s="26" customFormat="1" ht="11.4" customHeight="1">
      <c r="B220" s="144" t="s">
        <v>1177</v>
      </c>
      <c r="N220" s="120"/>
      <c r="P220" s="2443" t="s">
        <v>2936</v>
      </c>
      <c r="Q220" s="532"/>
      <c r="AE220" s="116"/>
      <c r="AF220" s="116"/>
    </row>
    <row r="221" spans="1:32" ht="12" customHeight="1">
      <c r="A221" s="46" t="s">
        <v>1957</v>
      </c>
      <c r="B221" s="35" t="s">
        <v>3602</v>
      </c>
      <c r="D221" s="41"/>
      <c r="E221" s="41"/>
      <c r="F221" s="41"/>
      <c r="G221" s="41"/>
      <c r="H221" s="41"/>
      <c r="I221" s="41"/>
      <c r="J221" s="41"/>
      <c r="K221" s="41"/>
      <c r="L221" s="41"/>
      <c r="M221" s="41"/>
      <c r="O221" s="463" t="s">
        <v>1957</v>
      </c>
      <c r="P221" s="2443" t="s">
        <v>4920</v>
      </c>
      <c r="Q221" s="534"/>
    </row>
    <row r="222" spans="1:32" ht="11.4" customHeight="1">
      <c r="A222" s="46"/>
      <c r="B222" s="145" t="s">
        <v>1716</v>
      </c>
      <c r="C222" s="51" t="s">
        <v>1905</v>
      </c>
      <c r="E222" s="51"/>
      <c r="F222" s="51"/>
      <c r="G222" s="51"/>
      <c r="H222" s="51"/>
      <c r="I222" s="41"/>
      <c r="J222" s="65" t="s">
        <v>1468</v>
      </c>
      <c r="K222" s="3305" t="s">
        <v>524</v>
      </c>
      <c r="L222" s="3307"/>
      <c r="Q222" s="535"/>
    </row>
    <row r="223" spans="1:32" ht="11.4" customHeight="1">
      <c r="A223" s="46"/>
      <c r="B223" s="145" t="s">
        <v>1717</v>
      </c>
      <c r="C223" s="897" t="s">
        <v>4415</v>
      </c>
      <c r="E223" s="897"/>
      <c r="F223" s="897"/>
      <c r="G223" s="897"/>
      <c r="H223" s="897"/>
      <c r="I223" s="41"/>
      <c r="J223" s="65" t="s">
        <v>1469</v>
      </c>
      <c r="K223" s="3363" t="s">
        <v>4948</v>
      </c>
      <c r="L223" s="3364"/>
      <c r="M223" s="3360" t="s">
        <v>2683</v>
      </c>
      <c r="N223" s="3361"/>
      <c r="O223" s="3361"/>
      <c r="P223" s="3362"/>
      <c r="Q223" s="535"/>
    </row>
    <row r="224" spans="1:32" ht="11.4" customHeight="1">
      <c r="A224" s="46"/>
      <c r="B224" s="39" t="s">
        <v>1718</v>
      </c>
      <c r="C224" s="897" t="s">
        <v>4418</v>
      </c>
      <c r="D224" s="147"/>
      <c r="E224" s="897"/>
      <c r="F224" s="897"/>
      <c r="G224" s="897"/>
      <c r="H224" s="897"/>
      <c r="I224" s="94"/>
      <c r="J224" s="463" t="s">
        <v>1470</v>
      </c>
      <c r="K224" s="3365" t="s">
        <v>4949</v>
      </c>
      <c r="L224" s="3366"/>
      <c r="M224" s="3366"/>
      <c r="N224" s="3367"/>
      <c r="O224" s="1509"/>
      <c r="P224" s="1168"/>
      <c r="Q224" s="535"/>
      <c r="R224" s="41"/>
    </row>
    <row r="225" spans="1:32" ht="11.4" customHeight="1">
      <c r="A225" s="46"/>
      <c r="B225" s="39" t="s">
        <v>2336</v>
      </c>
      <c r="C225" s="897" t="s">
        <v>4417</v>
      </c>
      <c r="D225" s="147"/>
      <c r="E225" s="897"/>
      <c r="F225" s="897"/>
      <c r="G225" s="897"/>
      <c r="H225" s="897"/>
      <c r="I225" s="94"/>
      <c r="J225" s="463" t="s">
        <v>4416</v>
      </c>
      <c r="K225" s="3281" t="s">
        <v>4950</v>
      </c>
      <c r="L225" s="3308"/>
      <c r="M225" s="3308"/>
      <c r="N225" s="3282"/>
      <c r="O225" s="127"/>
      <c r="P225" s="1508"/>
      <c r="Q225" s="536"/>
      <c r="R225" s="41"/>
    </row>
    <row r="226" spans="1:32" ht="11.25" customHeight="1">
      <c r="A226" s="46" t="s">
        <v>1959</v>
      </c>
      <c r="B226" s="51" t="s">
        <v>2476</v>
      </c>
      <c r="D226" s="51"/>
      <c r="E226" s="51"/>
      <c r="F226" s="51"/>
      <c r="G226" s="51"/>
      <c r="H226" s="51"/>
      <c r="I226" s="51"/>
      <c r="J226" s="51"/>
      <c r="K226" s="41"/>
      <c r="L226" s="41"/>
      <c r="M226" s="41"/>
      <c r="N226" s="41"/>
      <c r="O226" s="463" t="s">
        <v>1959</v>
      </c>
      <c r="P226" s="2443" t="s">
        <v>4920</v>
      </c>
      <c r="Q226" s="532"/>
    </row>
    <row r="227" spans="1:32" ht="11.1" customHeight="1">
      <c r="A227" s="46"/>
      <c r="B227" s="51" t="s">
        <v>4643</v>
      </c>
      <c r="D227" s="51"/>
      <c r="E227" s="51"/>
      <c r="F227" s="51"/>
      <c r="G227" s="51"/>
      <c r="H227" s="51"/>
      <c r="I227" s="51"/>
      <c r="J227" s="51"/>
      <c r="K227" s="41"/>
      <c r="L227" s="41"/>
      <c r="M227" s="41"/>
      <c r="N227" s="463" t="s">
        <v>3520</v>
      </c>
      <c r="O227" s="1631">
        <f>'Part VI-Revenues &amp; Expenses'!$O$67</f>
        <v>84</v>
      </c>
      <c r="P227" s="3368" t="s">
        <v>4645</v>
      </c>
      <c r="Q227" s="3369"/>
    </row>
    <row r="228" spans="1:32" ht="11.1" customHeight="1">
      <c r="A228" s="46"/>
      <c r="B228" s="145" t="s">
        <v>1716</v>
      </c>
      <c r="C228" s="51" t="s">
        <v>4646</v>
      </c>
      <c r="D228" s="51"/>
      <c r="E228" s="51"/>
      <c r="F228" s="51"/>
      <c r="H228" s="463" t="s">
        <v>4647</v>
      </c>
      <c r="I228" s="51" t="s">
        <v>4656</v>
      </c>
      <c r="M228" s="41"/>
      <c r="N228" s="41"/>
      <c r="O228" s="293"/>
      <c r="P228" s="1615" t="s">
        <v>762</v>
      </c>
      <c r="Q228" s="1616" t="s">
        <v>4644</v>
      </c>
    </row>
    <row r="229" spans="1:32" s="42" customFormat="1" ht="11.4" customHeight="1">
      <c r="A229" s="50"/>
      <c r="B229" s="463" t="s">
        <v>2089</v>
      </c>
      <c r="C229" s="3370" t="s">
        <v>4641</v>
      </c>
      <c r="D229" s="3371"/>
      <c r="E229" s="3371"/>
      <c r="F229" s="3371"/>
      <c r="G229" s="3372"/>
      <c r="H229" s="463" t="s">
        <v>2089</v>
      </c>
      <c r="I229" s="3466" t="s">
        <v>3973</v>
      </c>
      <c r="J229" s="2787"/>
      <c r="K229" s="2787"/>
      <c r="L229" s="2787"/>
      <c r="M229" s="2787"/>
      <c r="N229" s="2787"/>
      <c r="O229" s="3467"/>
      <c r="P229" s="534"/>
      <c r="Q229" s="538"/>
      <c r="AE229" s="53"/>
      <c r="AF229" s="53"/>
    </row>
    <row r="230" spans="1:32" s="42" customFormat="1" ht="11.4" customHeight="1">
      <c r="A230" s="50"/>
      <c r="B230" s="463" t="s">
        <v>2090</v>
      </c>
      <c r="C230" s="3347" t="s">
        <v>4639</v>
      </c>
      <c r="D230" s="3348"/>
      <c r="E230" s="3348"/>
      <c r="F230" s="3348"/>
      <c r="G230" s="3349"/>
      <c r="H230" s="463" t="s">
        <v>2090</v>
      </c>
      <c r="I230" s="2726"/>
      <c r="J230" s="2727"/>
      <c r="K230" s="2727"/>
      <c r="L230" s="2727"/>
      <c r="M230" s="2727"/>
      <c r="N230" s="2727"/>
      <c r="O230" s="2729"/>
      <c r="P230" s="535"/>
      <c r="Q230" s="1594"/>
      <c r="AE230" s="53"/>
      <c r="AF230" s="53"/>
    </row>
    <row r="231" spans="1:32" s="42" customFormat="1" ht="11.4" customHeight="1">
      <c r="A231" s="50"/>
      <c r="B231" s="463" t="s">
        <v>1713</v>
      </c>
      <c r="C231" s="3347" t="s">
        <v>4740</v>
      </c>
      <c r="D231" s="3348"/>
      <c r="E231" s="3348"/>
      <c r="F231" s="3348"/>
      <c r="G231" s="3349"/>
      <c r="H231" s="463" t="s">
        <v>1713</v>
      </c>
      <c r="I231" s="2726" t="s">
        <v>3973</v>
      </c>
      <c r="J231" s="2727"/>
      <c r="K231" s="2727"/>
      <c r="L231" s="2727"/>
      <c r="M231" s="2727"/>
      <c r="N231" s="2727"/>
      <c r="O231" s="2729"/>
      <c r="P231" s="535"/>
      <c r="Q231" s="1594"/>
      <c r="AE231" s="53"/>
      <c r="AF231" s="53"/>
    </row>
    <row r="232" spans="1:32" s="42" customFormat="1" ht="11.4" customHeight="1">
      <c r="A232" s="50"/>
      <c r="B232" s="463" t="s">
        <v>4655</v>
      </c>
      <c r="C232" s="3355"/>
      <c r="D232" s="3356"/>
      <c r="E232" s="3356"/>
      <c r="F232" s="3356"/>
      <c r="G232" s="3357"/>
      <c r="H232" s="463" t="s">
        <v>4655</v>
      </c>
      <c r="I232" s="2733"/>
      <c r="J232" s="2734"/>
      <c r="K232" s="2734"/>
      <c r="L232" s="2734"/>
      <c r="M232" s="2734"/>
      <c r="N232" s="2734"/>
      <c r="O232" s="2736"/>
      <c r="P232" s="536"/>
      <c r="Q232" s="539"/>
      <c r="AE232" s="53"/>
      <c r="AF232" s="53"/>
    </row>
    <row r="233" spans="1:32" ht="12" customHeight="1">
      <c r="A233" s="46" t="s">
        <v>738</v>
      </c>
      <c r="B233" s="51" t="s">
        <v>1366</v>
      </c>
      <c r="C233" s="51"/>
      <c r="E233" s="51"/>
      <c r="F233" s="51"/>
      <c r="G233" s="51"/>
      <c r="H233" s="51"/>
      <c r="I233" s="51"/>
      <c r="J233" s="51"/>
      <c r="K233" s="41"/>
      <c r="L233" s="51"/>
      <c r="M233" s="51"/>
      <c r="O233" s="463" t="s">
        <v>738</v>
      </c>
      <c r="P233" s="2444" t="s">
        <v>4920</v>
      </c>
      <c r="Q233" s="534"/>
    </row>
    <row r="234" spans="1:32" ht="11.4" customHeight="1">
      <c r="A234" s="46"/>
      <c r="B234" s="145" t="s">
        <v>1716</v>
      </c>
      <c r="C234" s="51" t="s">
        <v>3398</v>
      </c>
      <c r="E234" s="51"/>
      <c r="F234" s="51"/>
      <c r="L234" s="32"/>
      <c r="M234" s="32"/>
      <c r="O234" s="65" t="s">
        <v>1716</v>
      </c>
      <c r="P234" s="2445" t="s">
        <v>2933</v>
      </c>
      <c r="Q234" s="535"/>
    </row>
    <row r="235" spans="1:32" ht="11.4" customHeight="1">
      <c r="B235" s="145" t="s">
        <v>1717</v>
      </c>
      <c r="C235" s="897" t="s">
        <v>2759</v>
      </c>
      <c r="E235" s="897"/>
      <c r="F235" s="897"/>
      <c r="L235" s="32"/>
      <c r="M235" s="32"/>
      <c r="O235" s="65" t="s">
        <v>1717</v>
      </c>
      <c r="P235" s="2445" t="s">
        <v>2933</v>
      </c>
      <c r="Q235" s="535"/>
    </row>
    <row r="236" spans="1:32" ht="11.4" customHeight="1">
      <c r="B236" s="145" t="s">
        <v>1718</v>
      </c>
      <c r="C236" s="897" t="s">
        <v>2760</v>
      </c>
      <c r="E236" s="897"/>
      <c r="F236" s="897"/>
      <c r="G236" s="897"/>
      <c r="H236" s="897"/>
      <c r="I236" s="41"/>
      <c r="J236" s="32"/>
      <c r="K236" s="41"/>
      <c r="L236" s="32"/>
      <c r="M236" s="32"/>
      <c r="O236" s="65" t="s">
        <v>1718</v>
      </c>
      <c r="P236" s="2445" t="s">
        <v>2933</v>
      </c>
      <c r="Q236" s="535"/>
    </row>
    <row r="237" spans="1:32" ht="11.4" customHeight="1">
      <c r="A237" s="46"/>
      <c r="B237" s="145" t="s">
        <v>2336</v>
      </c>
      <c r="C237" s="897" t="s">
        <v>2761</v>
      </c>
      <c r="E237" s="897"/>
      <c r="F237" s="897"/>
      <c r="G237" s="897"/>
      <c r="H237" s="897"/>
      <c r="I237" s="41"/>
      <c r="J237" s="32"/>
      <c r="K237" s="41"/>
      <c r="L237" s="32"/>
      <c r="M237" s="32"/>
      <c r="O237" s="65" t="s">
        <v>2336</v>
      </c>
      <c r="P237" s="2445" t="s">
        <v>2933</v>
      </c>
      <c r="Q237" s="535"/>
    </row>
    <row r="238" spans="1:32" ht="11.4" customHeight="1">
      <c r="A238" s="46"/>
      <c r="B238" s="145" t="s">
        <v>1530</v>
      </c>
      <c r="C238" s="897" t="s">
        <v>2762</v>
      </c>
      <c r="E238" s="897"/>
      <c r="F238" s="897"/>
      <c r="G238" s="897"/>
      <c r="H238" s="897"/>
      <c r="I238" s="41"/>
      <c r="J238" s="32"/>
      <c r="K238" s="41"/>
      <c r="L238" s="32"/>
      <c r="M238" s="32"/>
      <c r="O238" s="65" t="s">
        <v>1530</v>
      </c>
      <c r="P238" s="2445" t="s">
        <v>2933</v>
      </c>
      <c r="Q238" s="535"/>
    </row>
    <row r="239" spans="1:32" ht="11.4" customHeight="1">
      <c r="A239" s="46"/>
      <c r="B239" s="39" t="s">
        <v>1531</v>
      </c>
      <c r="C239" s="51" t="s">
        <v>763</v>
      </c>
      <c r="E239" s="51"/>
      <c r="F239" s="51"/>
      <c r="G239" s="51"/>
      <c r="H239" s="51"/>
      <c r="I239" s="41"/>
      <c r="J239" s="32"/>
      <c r="K239" s="41"/>
      <c r="L239" s="32"/>
      <c r="M239" s="32"/>
      <c r="O239" s="463" t="s">
        <v>2751</v>
      </c>
      <c r="P239" s="2445"/>
      <c r="Q239" s="535"/>
    </row>
    <row r="240" spans="1:32" ht="11.4" customHeight="1">
      <c r="A240" s="46"/>
      <c r="B240" s="65"/>
      <c r="C240" s="51" t="s">
        <v>1471</v>
      </c>
      <c r="E240" s="51"/>
      <c r="F240" s="51"/>
      <c r="G240" s="51"/>
      <c r="H240" s="51"/>
      <c r="I240" s="41"/>
      <c r="J240" s="32"/>
      <c r="K240" s="41"/>
      <c r="L240" s="32"/>
      <c r="M240" s="32"/>
      <c r="O240" s="463" t="s">
        <v>2752</v>
      </c>
      <c r="P240" s="2446" t="s">
        <v>2933</v>
      </c>
      <c r="Q240" s="536"/>
    </row>
    <row r="241" spans="1:32" ht="11.25" customHeight="1">
      <c r="A241" s="46" t="s">
        <v>2088</v>
      </c>
      <c r="B241" s="51" t="s">
        <v>3563</v>
      </c>
      <c r="C241" s="51"/>
      <c r="E241" s="51"/>
      <c r="F241" s="51"/>
      <c r="G241" s="51"/>
      <c r="H241" s="51"/>
      <c r="I241" s="51"/>
      <c r="J241" s="51"/>
      <c r="K241" s="41"/>
      <c r="M241" s="64" t="s">
        <v>4500</v>
      </c>
      <c r="N241" s="1583" t="str">
        <f>'Part I-Project Information'!$H$82</f>
        <v>Family</v>
      </c>
      <c r="O241" s="463" t="s">
        <v>2088</v>
      </c>
      <c r="P241" s="2444"/>
      <c r="Q241" s="534"/>
    </row>
    <row r="242" spans="1:32" ht="11.4" customHeight="1">
      <c r="B242" s="65" t="s">
        <v>1716</v>
      </c>
      <c r="C242" s="38" t="s">
        <v>1240</v>
      </c>
      <c r="E242" s="41"/>
      <c r="F242" s="41"/>
      <c r="G242" s="38"/>
      <c r="H242" s="897"/>
      <c r="I242" s="41"/>
      <c r="J242" s="897"/>
      <c r="K242" s="41"/>
      <c r="L242" s="897"/>
      <c r="M242" s="897"/>
      <c r="O242" s="65" t="s">
        <v>1716</v>
      </c>
      <c r="P242" s="2445"/>
      <c r="Q242" s="535"/>
    </row>
    <row r="243" spans="1:32" ht="11.4" customHeight="1">
      <c r="B243" s="65" t="s">
        <v>1717</v>
      </c>
      <c r="C243" s="35" t="s">
        <v>4431</v>
      </c>
      <c r="E243" s="41"/>
      <c r="F243" s="41"/>
      <c r="G243" s="897"/>
      <c r="H243" s="897"/>
      <c r="I243" s="41"/>
      <c r="J243" s="897"/>
      <c r="K243" s="41"/>
      <c r="L243" s="897"/>
      <c r="M243" s="897"/>
      <c r="O243" s="65" t="s">
        <v>1717</v>
      </c>
      <c r="P243" s="2446"/>
      <c r="Q243" s="536"/>
    </row>
    <row r="244" spans="1:32" ht="11.25" customHeight="1">
      <c r="B244" s="140" t="s">
        <v>3644</v>
      </c>
      <c r="D244" s="140"/>
      <c r="E244" s="140"/>
      <c r="F244" s="140"/>
      <c r="G244" s="140"/>
      <c r="H244" s="39"/>
      <c r="I244" s="1760"/>
      <c r="J244" s="1760"/>
      <c r="K244" s="1760"/>
      <c r="L244" s="1748"/>
      <c r="M244" s="1748"/>
      <c r="N244" s="1748"/>
      <c r="O244" s="1748"/>
      <c r="P244" s="1748"/>
      <c r="Q244" s="896"/>
    </row>
    <row r="245" spans="1:32" ht="35.1" customHeight="1">
      <c r="A245" s="3302" t="s">
        <v>4951</v>
      </c>
      <c r="B245" s="3303"/>
      <c r="C245" s="3303"/>
      <c r="D245" s="3303"/>
      <c r="E245" s="3303"/>
      <c r="F245" s="3303"/>
      <c r="G245" s="3303"/>
      <c r="H245" s="3303"/>
      <c r="I245" s="3303"/>
      <c r="J245" s="3303"/>
      <c r="K245" s="3303"/>
      <c r="L245" s="3303"/>
      <c r="M245" s="3303"/>
      <c r="N245" s="3303"/>
      <c r="O245" s="3303"/>
      <c r="P245" s="3303"/>
      <c r="Q245" s="3304"/>
      <c r="R245" s="445" t="s">
        <v>1239</v>
      </c>
      <c r="S245" s="446"/>
      <c r="U245" s="135"/>
      <c r="V245" s="135"/>
      <c r="W245" s="135"/>
      <c r="X245" s="135"/>
      <c r="Y245" s="135"/>
      <c r="Z245" s="135"/>
      <c r="AA245" s="135"/>
      <c r="AB245" s="135"/>
      <c r="AC245" s="135"/>
      <c r="AD245" s="135"/>
      <c r="AE245" s="465"/>
    </row>
    <row r="246" spans="1:32" ht="11.25" customHeight="1">
      <c r="B246" s="136" t="s">
        <v>1841</v>
      </c>
      <c r="C246" s="137"/>
      <c r="D246" s="1751"/>
      <c r="E246" s="1751"/>
      <c r="F246" s="1751"/>
      <c r="G246" s="1751"/>
      <c r="H246" s="1751"/>
      <c r="I246" s="1751"/>
      <c r="J246" s="1751"/>
      <c r="K246" s="1751"/>
      <c r="L246" s="1751"/>
      <c r="M246" s="1751"/>
      <c r="N246" s="1751"/>
      <c r="O246" s="1751"/>
      <c r="P246" s="1751"/>
      <c r="Q246" s="1751"/>
    </row>
    <row r="247" spans="1:32" ht="11.25" customHeight="1">
      <c r="A247" s="3258"/>
      <c r="B247" s="3259"/>
      <c r="C247" s="3259"/>
      <c r="D247" s="3259"/>
      <c r="E247" s="3259"/>
      <c r="F247" s="3259"/>
      <c r="G247" s="3259"/>
      <c r="H247" s="3259"/>
      <c r="I247" s="3259"/>
      <c r="J247" s="3259"/>
      <c r="K247" s="3259"/>
      <c r="L247" s="3259"/>
      <c r="M247" s="3259"/>
      <c r="N247" s="3259"/>
      <c r="O247" s="3259"/>
      <c r="P247" s="3259"/>
      <c r="Q247" s="3260"/>
    </row>
    <row r="248" spans="1:32" ht="3" customHeight="1">
      <c r="A248" s="1748"/>
      <c r="B248" s="1760"/>
      <c r="C248" s="1751"/>
      <c r="D248" s="1751"/>
      <c r="E248" s="1751"/>
      <c r="F248" s="1751"/>
      <c r="G248" s="1751"/>
      <c r="H248" s="1751"/>
      <c r="I248" s="1751"/>
      <c r="J248" s="1751"/>
      <c r="K248" s="1751"/>
      <c r="L248" s="1751"/>
      <c r="M248" s="1751"/>
      <c r="Q248" s="1748"/>
    </row>
    <row r="249" spans="1:32" ht="14.1" customHeight="1">
      <c r="A249" s="1745" t="s">
        <v>2736</v>
      </c>
      <c r="B249" s="3" t="s">
        <v>2625</v>
      </c>
      <c r="C249" s="3"/>
      <c r="D249" s="86"/>
      <c r="E249" s="86"/>
      <c r="F249" s="86"/>
      <c r="G249" s="86"/>
      <c r="H249" s="1751"/>
      <c r="I249" s="1751"/>
      <c r="J249" s="1751"/>
      <c r="K249" s="1751"/>
      <c r="L249" s="1687"/>
      <c r="M249" s="1688"/>
      <c r="O249" s="131" t="s">
        <v>1842</v>
      </c>
      <c r="P249" s="3261"/>
      <c r="Q249" s="3262"/>
    </row>
    <row r="250" spans="1:32" ht="11.4" customHeight="1">
      <c r="A250" s="46" t="s">
        <v>1957</v>
      </c>
      <c r="B250" s="51" t="s">
        <v>1253</v>
      </c>
      <c r="D250" s="41"/>
      <c r="E250" s="51"/>
      <c r="F250" s="51"/>
      <c r="J250" s="463" t="s">
        <v>1957</v>
      </c>
      <c r="K250" s="3288" t="s">
        <v>1749</v>
      </c>
      <c r="L250" s="3289"/>
      <c r="M250" s="3289"/>
      <c r="N250" s="3289"/>
      <c r="O250" s="3290"/>
      <c r="P250" s="3376" t="s">
        <v>1749</v>
      </c>
      <c r="Q250" s="3377"/>
    </row>
    <row r="251" spans="1:32" ht="11.4" customHeight="1">
      <c r="A251" s="46" t="s">
        <v>1959</v>
      </c>
      <c r="B251" s="51" t="s">
        <v>2763</v>
      </c>
      <c r="D251" s="51"/>
      <c r="E251" s="51"/>
      <c r="F251" s="51"/>
      <c r="J251" s="463" t="s">
        <v>1959</v>
      </c>
      <c r="K251" s="3373"/>
      <c r="L251" s="3374"/>
      <c r="M251" s="3374"/>
      <c r="N251" s="3374"/>
      <c r="O251" s="3375"/>
      <c r="P251" s="3338"/>
      <c r="Q251" s="3339"/>
    </row>
    <row r="252" spans="1:32" s="147" customFormat="1" ht="11.4" customHeight="1">
      <c r="A252" s="46"/>
      <c r="B252" s="51" t="s">
        <v>1919</v>
      </c>
      <c r="D252" s="51"/>
      <c r="E252" s="51"/>
      <c r="F252" s="51"/>
      <c r="K252" s="3281"/>
      <c r="L252" s="3308"/>
      <c r="M252" s="3308"/>
      <c r="N252" s="3308"/>
      <c r="O252" s="3282"/>
      <c r="P252" s="3340"/>
      <c r="Q252" s="3341"/>
      <c r="AE252" s="467"/>
      <c r="AF252" s="467"/>
    </row>
    <row r="253" spans="1:32" s="147" customFormat="1" ht="11.4" customHeight="1">
      <c r="A253" s="46"/>
      <c r="B253" s="51" t="s">
        <v>2510</v>
      </c>
      <c r="D253" s="51"/>
      <c r="E253" s="51"/>
      <c r="F253" s="51"/>
      <c r="G253" s="51"/>
      <c r="H253" s="51"/>
      <c r="I253" s="94"/>
      <c r="J253" s="94"/>
      <c r="M253" s="35"/>
      <c r="N253" s="1021"/>
      <c r="O253" s="463"/>
      <c r="P253" s="2445"/>
      <c r="Q253" s="535"/>
      <c r="AE253" s="467"/>
      <c r="AF253" s="467"/>
    </row>
    <row r="254" spans="1:32" s="147" customFormat="1" ht="11.4" customHeight="1">
      <c r="A254" s="46" t="s">
        <v>738</v>
      </c>
      <c r="B254" s="51" t="s">
        <v>4576</v>
      </c>
      <c r="D254" s="51"/>
      <c r="E254" s="51"/>
      <c r="F254" s="51"/>
      <c r="J254" s="463" t="s">
        <v>738</v>
      </c>
      <c r="K254" s="3342"/>
      <c r="L254" s="3343"/>
      <c r="M254" s="3343"/>
      <c r="N254" s="3343"/>
      <c r="O254" s="3344"/>
      <c r="P254" s="3345"/>
      <c r="Q254" s="3346"/>
      <c r="AE254" s="467"/>
      <c r="AF254" s="467"/>
    </row>
    <row r="255" spans="1:32" s="147" customFormat="1" ht="11.4" customHeight="1">
      <c r="A255" s="46"/>
      <c r="B255" s="51" t="s">
        <v>4437</v>
      </c>
      <c r="D255" s="51"/>
      <c r="E255" s="51"/>
      <c r="F255" s="51"/>
      <c r="AE255" s="467"/>
      <c r="AF255" s="467"/>
    </row>
    <row r="256" spans="1:32" s="147" customFormat="1" ht="11.4" customHeight="1">
      <c r="A256" s="46"/>
      <c r="C256" s="51" t="s">
        <v>4434</v>
      </c>
      <c r="D256" s="51"/>
      <c r="E256" s="51"/>
      <c r="F256" s="51"/>
      <c r="K256" s="463" t="s">
        <v>4433</v>
      </c>
      <c r="L256" s="2459"/>
      <c r="M256" s="35"/>
      <c r="N256" s="1021"/>
      <c r="O256" s="1021"/>
      <c r="P256" s="2444"/>
      <c r="Q256" s="534"/>
      <c r="AE256" s="467"/>
      <c r="AF256" s="467"/>
    </row>
    <row r="257" spans="1:32" s="147" customFormat="1" ht="11.4" customHeight="1">
      <c r="A257" s="46"/>
      <c r="B257" s="51"/>
      <c r="C257" s="54" t="s">
        <v>4435</v>
      </c>
      <c r="D257" s="51"/>
      <c r="E257" s="51"/>
      <c r="F257" s="51"/>
      <c r="K257" s="463" t="s">
        <v>4436</v>
      </c>
      <c r="L257" s="2460"/>
      <c r="M257" s="35"/>
      <c r="N257" s="1021"/>
      <c r="O257" s="1021"/>
      <c r="P257" s="2446"/>
      <c r="Q257" s="536"/>
      <c r="AE257" s="467"/>
      <c r="AF257" s="467"/>
    </row>
    <row r="258" spans="1:32" s="147" customFormat="1" ht="11.4" customHeight="1">
      <c r="A258" s="46"/>
      <c r="B258" s="51" t="s">
        <v>4432</v>
      </c>
      <c r="D258" s="51"/>
      <c r="E258" s="51"/>
      <c r="F258" s="51"/>
      <c r="K258" s="3288"/>
      <c r="L258" s="3289"/>
      <c r="M258" s="3289"/>
      <c r="N258" s="3289"/>
      <c r="O258" s="3290"/>
      <c r="P258" s="3358"/>
      <c r="Q258" s="3359"/>
      <c r="AE258" s="467"/>
      <c r="AF258" s="467"/>
    </row>
    <row r="259" spans="1:32" s="147" customFormat="1" ht="11.4" customHeight="1">
      <c r="A259" s="46" t="s">
        <v>2088</v>
      </c>
      <c r="B259" s="51" t="s">
        <v>3768</v>
      </c>
      <c r="D259" s="51"/>
      <c r="E259" s="51"/>
      <c r="F259" s="51"/>
      <c r="G259" s="51"/>
      <c r="H259" s="51"/>
      <c r="I259" s="94"/>
      <c r="J259" s="94"/>
      <c r="K259" s="94"/>
      <c r="M259" s="35"/>
      <c r="N259" s="1021"/>
      <c r="O259" s="463" t="s">
        <v>2088</v>
      </c>
      <c r="P259" s="2444"/>
      <c r="Q259" s="534"/>
      <c r="AE259" s="467"/>
      <c r="AF259" s="467"/>
    </row>
    <row r="260" spans="1:32" s="147" customFormat="1" ht="11.4" customHeight="1">
      <c r="A260" s="46"/>
      <c r="B260" s="3257" t="s">
        <v>3650</v>
      </c>
      <c r="C260" s="3257"/>
      <c r="D260" s="3257"/>
      <c r="E260" s="3257"/>
      <c r="F260" s="3257"/>
      <c r="G260" s="3257"/>
      <c r="H260" s="431" t="s">
        <v>3929</v>
      </c>
      <c r="K260" s="94"/>
      <c r="M260" s="35"/>
      <c r="N260" s="1021"/>
      <c r="O260" s="65" t="s">
        <v>1716</v>
      </c>
      <c r="P260" s="2445"/>
      <c r="Q260" s="535"/>
      <c r="AE260" s="467"/>
      <c r="AF260" s="467"/>
    </row>
    <row r="261" spans="1:32" s="147" customFormat="1" ht="11.4" customHeight="1">
      <c r="A261" s="46"/>
      <c r="B261" s="3257"/>
      <c r="C261" s="3257"/>
      <c r="D261" s="3257"/>
      <c r="E261" s="3257"/>
      <c r="F261" s="3257"/>
      <c r="G261" s="3257"/>
      <c r="H261" s="54" t="s">
        <v>3930</v>
      </c>
      <c r="K261" s="94"/>
      <c r="M261" s="35"/>
      <c r="N261" s="1021"/>
      <c r="O261" s="65" t="s">
        <v>1717</v>
      </c>
      <c r="P261" s="2445"/>
      <c r="Q261" s="535"/>
      <c r="AE261" s="467"/>
      <c r="AF261" s="467"/>
    </row>
    <row r="262" spans="1:32" s="147" customFormat="1" ht="11.4" customHeight="1">
      <c r="A262" s="46"/>
      <c r="B262" s="51"/>
      <c r="D262" s="51"/>
      <c r="E262" s="51"/>
      <c r="F262" s="51"/>
      <c r="G262" s="51"/>
      <c r="H262" s="54" t="s">
        <v>3931</v>
      </c>
      <c r="K262" s="94"/>
      <c r="M262" s="35"/>
      <c r="N262" s="1021"/>
      <c r="O262" s="65" t="s">
        <v>1718</v>
      </c>
      <c r="P262" s="2445"/>
      <c r="Q262" s="535"/>
      <c r="AE262" s="467"/>
      <c r="AF262" s="467"/>
    </row>
    <row r="263" spans="1:32" s="147" customFormat="1" ht="11.4" customHeight="1">
      <c r="A263" s="46"/>
      <c r="B263" s="51"/>
      <c r="D263" s="51"/>
      <c r="E263" s="51"/>
      <c r="F263" s="51"/>
      <c r="G263" s="51"/>
      <c r="H263" s="54" t="s">
        <v>3932</v>
      </c>
      <c r="K263" s="94"/>
      <c r="M263" s="35"/>
      <c r="N263" s="1021"/>
      <c r="O263" s="463" t="s">
        <v>2336</v>
      </c>
      <c r="P263" s="2445"/>
      <c r="Q263" s="535"/>
      <c r="AE263" s="467"/>
      <c r="AF263" s="467"/>
    </row>
    <row r="264" spans="1:32" s="147" customFormat="1" ht="21.75" customHeight="1">
      <c r="B264" s="3257" t="s">
        <v>3769</v>
      </c>
      <c r="C264" s="3257"/>
      <c r="D264" s="3257"/>
      <c r="E264" s="3257"/>
      <c r="F264" s="3257"/>
      <c r="G264" s="3257"/>
      <c r="H264" s="3257"/>
      <c r="I264" s="3257"/>
      <c r="J264" s="3257"/>
      <c r="K264" s="3257"/>
      <c r="L264" s="3257"/>
      <c r="M264" s="3257"/>
      <c r="N264" s="3257"/>
      <c r="O264" s="160"/>
      <c r="P264" s="2457"/>
      <c r="Q264" s="1763"/>
      <c r="T264" s="467"/>
      <c r="AE264" s="467"/>
      <c r="AF264" s="467"/>
    </row>
    <row r="265" spans="1:32" s="147" customFormat="1" ht="33.75" customHeight="1">
      <c r="A265" s="141" t="s">
        <v>1714</v>
      </c>
      <c r="B265" s="3257" t="s">
        <v>4750</v>
      </c>
      <c r="C265" s="3257"/>
      <c r="D265" s="3257"/>
      <c r="E265" s="3257"/>
      <c r="F265" s="3257"/>
      <c r="G265" s="3257"/>
      <c r="H265" s="3257"/>
      <c r="I265" s="3257"/>
      <c r="J265" s="3257"/>
      <c r="K265" s="3257"/>
      <c r="L265" s="3257"/>
      <c r="M265" s="3257"/>
      <c r="N265" s="3257"/>
      <c r="O265" s="160" t="s">
        <v>1714</v>
      </c>
      <c r="P265" s="2461"/>
      <c r="Q265" s="1764"/>
      <c r="T265" s="467"/>
      <c r="AE265" s="467"/>
      <c r="AF265" s="467"/>
    </row>
    <row r="266" spans="1:32" s="147" customFormat="1" ht="21.75" customHeight="1">
      <c r="B266" s="3257" t="s">
        <v>4749</v>
      </c>
      <c r="C266" s="3257"/>
      <c r="D266" s="3257"/>
      <c r="E266" s="3257"/>
      <c r="F266" s="3257"/>
      <c r="G266" s="3257"/>
      <c r="H266" s="3257"/>
      <c r="I266" s="3257"/>
      <c r="J266" s="3257"/>
      <c r="K266" s="3257"/>
      <c r="L266" s="3257"/>
      <c r="M266" s="3257"/>
      <c r="N266" s="3257"/>
      <c r="O266" s="160"/>
      <c r="P266" s="2454"/>
      <c r="Q266" s="1754"/>
      <c r="T266" s="467"/>
      <c r="AE266" s="467"/>
      <c r="AF266" s="467"/>
    </row>
    <row r="267" spans="1:32" ht="11.4" customHeight="1">
      <c r="B267" s="65" t="s">
        <v>1716</v>
      </c>
      <c r="C267" s="897" t="s">
        <v>4747</v>
      </c>
      <c r="E267" s="897"/>
      <c r="F267" s="897"/>
      <c r="L267" s="32"/>
      <c r="M267" s="32"/>
      <c r="O267" s="65" t="s">
        <v>1716</v>
      </c>
      <c r="P267" s="2462"/>
      <c r="Q267" s="1607"/>
    </row>
    <row r="268" spans="1:32" ht="11.4" customHeight="1">
      <c r="B268" s="65"/>
      <c r="D268" s="54" t="s">
        <v>3733</v>
      </c>
      <c r="E268" s="3144"/>
      <c r="F268" s="3145"/>
      <c r="G268" s="3146"/>
      <c r="H268" s="897" t="s">
        <v>4616</v>
      </c>
      <c r="I268" s="3144" t="s">
        <v>4617</v>
      </c>
      <c r="J268" s="3145"/>
      <c r="K268" s="3146"/>
      <c r="L268" s="134" t="s">
        <v>4618</v>
      </c>
      <c r="M268" s="3144"/>
      <c r="N268" s="3145"/>
      <c r="O268" s="3145"/>
      <c r="P268" s="3145"/>
      <c r="Q268" s="3146"/>
      <c r="U268" s="391"/>
    </row>
    <row r="269" spans="1:32" ht="11.4" customHeight="1">
      <c r="A269" s="46"/>
      <c r="B269" s="65" t="s">
        <v>1717</v>
      </c>
      <c r="C269" s="897" t="s">
        <v>4748</v>
      </c>
      <c r="E269" s="897"/>
      <c r="F269" s="897"/>
      <c r="G269" s="897"/>
      <c r="H269" s="897"/>
      <c r="I269" s="41"/>
      <c r="J269" s="32"/>
      <c r="K269" s="41"/>
      <c r="L269" s="32"/>
      <c r="M269" s="32"/>
      <c r="O269" s="65" t="s">
        <v>1717</v>
      </c>
      <c r="P269" s="2447"/>
      <c r="Q269" s="533"/>
      <c r="S269" s="65"/>
      <c r="U269" s="391"/>
    </row>
    <row r="270" spans="1:32" ht="11.4" customHeight="1">
      <c r="A270" s="46"/>
      <c r="B270" s="65"/>
      <c r="D270" s="54" t="s">
        <v>2272</v>
      </c>
      <c r="E270" s="3144"/>
      <c r="F270" s="3145"/>
      <c r="G270" s="3146"/>
      <c r="H270" s="134" t="s">
        <v>1777</v>
      </c>
      <c r="I270" s="3144"/>
      <c r="J270" s="3145"/>
      <c r="K270" s="3145"/>
      <c r="L270" s="3145"/>
      <c r="M270" s="3146"/>
      <c r="S270" s="65"/>
      <c r="U270" s="391"/>
    </row>
    <row r="271" spans="1:32" ht="11.25" customHeight="1">
      <c r="B271" s="140" t="s">
        <v>3644</v>
      </c>
      <c r="D271" s="140"/>
      <c r="E271" s="140"/>
      <c r="F271" s="140"/>
      <c r="G271" s="140"/>
      <c r="H271" s="39"/>
      <c r="I271" s="1760"/>
      <c r="J271" s="1760"/>
      <c r="K271" s="1760"/>
      <c r="L271" s="1748"/>
      <c r="M271" s="1748"/>
      <c r="N271" s="1748"/>
      <c r="O271" s="1748"/>
      <c r="P271" s="1748"/>
      <c r="Q271" s="896"/>
    </row>
    <row r="272" spans="1:32" ht="13.35" customHeight="1">
      <c r="A272" s="3302" t="s">
        <v>4944</v>
      </c>
      <c r="B272" s="3303"/>
      <c r="C272" s="3303"/>
      <c r="D272" s="3303"/>
      <c r="E272" s="3303"/>
      <c r="F272" s="3303"/>
      <c r="G272" s="3303"/>
      <c r="H272" s="3303"/>
      <c r="I272" s="3303"/>
      <c r="J272" s="3303"/>
      <c r="K272" s="3303"/>
      <c r="L272" s="3303"/>
      <c r="M272" s="3303"/>
      <c r="N272" s="3303"/>
      <c r="O272" s="3303"/>
      <c r="P272" s="3303"/>
      <c r="Q272" s="3304"/>
      <c r="R272" s="445" t="s">
        <v>1239</v>
      </c>
      <c r="S272" s="446"/>
      <c r="U272" s="135"/>
      <c r="V272" s="135"/>
      <c r="W272" s="135"/>
      <c r="X272" s="135"/>
      <c r="Y272" s="135"/>
      <c r="Z272" s="135"/>
      <c r="AA272" s="135"/>
      <c r="AB272" s="135"/>
      <c r="AC272" s="135"/>
      <c r="AD272" s="135"/>
      <c r="AE272" s="465"/>
    </row>
    <row r="273" spans="1:32" ht="11.1" customHeight="1">
      <c r="B273" s="136" t="s">
        <v>1841</v>
      </c>
      <c r="C273" s="137"/>
      <c r="D273" s="1751"/>
      <c r="E273" s="1751"/>
      <c r="F273" s="1751"/>
      <c r="G273" s="1751"/>
      <c r="H273" s="1751"/>
      <c r="I273" s="1751"/>
      <c r="J273" s="1751"/>
      <c r="K273" s="1751"/>
      <c r="L273" s="1751"/>
      <c r="M273" s="1751"/>
      <c r="N273" s="1751"/>
      <c r="O273" s="1751"/>
      <c r="P273" s="1751"/>
      <c r="Q273" s="1751"/>
    </row>
    <row r="274" spans="1:32" ht="13.35" customHeight="1">
      <c r="A274" s="3258"/>
      <c r="B274" s="3259"/>
      <c r="C274" s="3259"/>
      <c r="D274" s="3259"/>
      <c r="E274" s="3259"/>
      <c r="F274" s="3259"/>
      <c r="G274" s="3259"/>
      <c r="H274" s="3259"/>
      <c r="I274" s="3259"/>
      <c r="J274" s="3259"/>
      <c r="K274" s="3259"/>
      <c r="L274" s="3259"/>
      <c r="M274" s="3259"/>
      <c r="N274" s="3259"/>
      <c r="O274" s="3259"/>
      <c r="P274" s="3259"/>
      <c r="Q274" s="3260"/>
    </row>
    <row r="275" spans="1:32" ht="3" customHeight="1">
      <c r="A275" s="1748"/>
      <c r="B275" s="1760"/>
      <c r="C275" s="1751"/>
      <c r="D275" s="1751"/>
      <c r="E275" s="1751"/>
      <c r="F275" s="1751"/>
      <c r="G275" s="1751"/>
      <c r="H275" s="1751"/>
      <c r="I275" s="1751"/>
      <c r="J275" s="1751"/>
      <c r="K275" s="1751"/>
      <c r="L275" s="1751"/>
      <c r="M275" s="1751"/>
      <c r="Q275" s="1748"/>
    </row>
    <row r="276" spans="1:32" ht="14.1" customHeight="1">
      <c r="A276" s="1745" t="s">
        <v>2223</v>
      </c>
      <c r="B276" s="3" t="s">
        <v>2626</v>
      </c>
      <c r="C276" s="3"/>
      <c r="D276" s="86"/>
      <c r="E276" s="86"/>
      <c r="F276" s="86"/>
      <c r="G276" s="86"/>
      <c r="H276" s="1751"/>
      <c r="I276" s="1751"/>
      <c r="J276" s="1751"/>
      <c r="K276" s="1751"/>
      <c r="L276" s="1751"/>
      <c r="M276" s="1751"/>
      <c r="O276" s="131" t="s">
        <v>1842</v>
      </c>
      <c r="P276" s="3261"/>
      <c r="Q276" s="3262"/>
    </row>
    <row r="277" spans="1:32" s="414" customFormat="1" ht="21.75" customHeight="1">
      <c r="A277" s="141" t="s">
        <v>1957</v>
      </c>
      <c r="B277" s="3257" t="s">
        <v>4629</v>
      </c>
      <c r="C277" s="3257"/>
      <c r="D277" s="3257"/>
      <c r="E277" s="3257"/>
      <c r="F277" s="3257"/>
      <c r="G277" s="3257"/>
      <c r="H277" s="3257"/>
      <c r="I277" s="3257"/>
      <c r="J277" s="3257"/>
      <c r="K277" s="3257"/>
      <c r="L277" s="3257"/>
      <c r="M277" s="3257"/>
      <c r="N277" s="3257"/>
      <c r="O277" s="160" t="s">
        <v>1957</v>
      </c>
      <c r="P277" s="2456" t="s">
        <v>2933</v>
      </c>
      <c r="Q277" s="1148"/>
      <c r="AE277" s="468"/>
      <c r="AF277" s="468"/>
    </row>
    <row r="278" spans="1:32" s="147" customFormat="1" ht="11.4" customHeight="1">
      <c r="A278" s="46"/>
      <c r="B278" s="51" t="s">
        <v>3647</v>
      </c>
      <c r="D278" s="51"/>
      <c r="E278" s="51"/>
      <c r="F278" s="51"/>
      <c r="G278" s="51"/>
      <c r="H278" s="51"/>
      <c r="I278" s="51"/>
      <c r="J278" s="51"/>
      <c r="K278" s="51"/>
      <c r="L278" s="51"/>
      <c r="M278" s="51"/>
      <c r="O278" s="463"/>
      <c r="P278" s="2446" t="s">
        <v>2933</v>
      </c>
      <c r="Q278" s="536"/>
      <c r="AE278" s="467"/>
      <c r="AF278" s="467"/>
    </row>
    <row r="279" spans="1:32" s="147" customFormat="1" ht="11.4" customHeight="1">
      <c r="A279" s="46" t="s">
        <v>1959</v>
      </c>
      <c r="B279" s="51" t="s">
        <v>3648</v>
      </c>
      <c r="D279" s="51"/>
      <c r="E279" s="51"/>
      <c r="F279" s="51"/>
      <c r="G279" s="51"/>
      <c r="H279" s="51"/>
      <c r="I279" s="51"/>
      <c r="J279" s="51"/>
      <c r="K279" s="51"/>
      <c r="L279" s="51"/>
      <c r="M279" s="51"/>
      <c r="O279" s="463" t="s">
        <v>1959</v>
      </c>
      <c r="P279" s="2446" t="s">
        <v>2933</v>
      </c>
      <c r="Q279" s="536"/>
      <c r="AE279" s="467"/>
      <c r="AF279" s="467"/>
    </row>
    <row r="280" spans="1:32" s="147" customFormat="1" ht="11.4" customHeight="1">
      <c r="A280" s="46" t="s">
        <v>738</v>
      </c>
      <c r="B280" s="51" t="s">
        <v>3933</v>
      </c>
      <c r="D280" s="51"/>
      <c r="E280" s="51"/>
      <c r="F280" s="51"/>
      <c r="G280" s="51"/>
      <c r="H280" s="51"/>
      <c r="I280" s="51"/>
      <c r="J280" s="51"/>
      <c r="K280" s="51"/>
      <c r="L280" s="51"/>
      <c r="M280" s="51"/>
      <c r="O280" s="463" t="s">
        <v>738</v>
      </c>
      <c r="P280" s="2444" t="s">
        <v>2933</v>
      </c>
      <c r="Q280" s="534"/>
      <c r="AE280" s="467"/>
      <c r="AF280" s="467"/>
    </row>
    <row r="281" spans="1:32" s="147" customFormat="1" ht="11.4" customHeight="1">
      <c r="A281" s="46"/>
      <c r="B281" s="51" t="s">
        <v>3649</v>
      </c>
      <c r="D281" s="51"/>
      <c r="E281" s="51"/>
      <c r="F281" s="51"/>
      <c r="G281" s="51"/>
      <c r="H281" s="51"/>
      <c r="I281" s="51"/>
      <c r="J281" s="51"/>
      <c r="K281" s="51"/>
      <c r="L281" s="51"/>
      <c r="M281" s="51"/>
      <c r="O281" s="463"/>
      <c r="P281" s="2446" t="s">
        <v>2933</v>
      </c>
      <c r="Q281" s="536"/>
      <c r="AE281" s="467"/>
      <c r="AF281" s="467"/>
    </row>
    <row r="282" spans="1:32" s="147" customFormat="1" ht="22.5" customHeight="1">
      <c r="A282" s="141" t="s">
        <v>2088</v>
      </c>
      <c r="B282" s="3257" t="s">
        <v>4632</v>
      </c>
      <c r="C282" s="3257"/>
      <c r="D282" s="3257"/>
      <c r="E282" s="3257"/>
      <c r="F282" s="3257"/>
      <c r="G282" s="3257"/>
      <c r="H282" s="3257"/>
      <c r="I282" s="3257"/>
      <c r="J282" s="3257"/>
      <c r="K282" s="3257"/>
      <c r="L282" s="3257"/>
      <c r="M282" s="3257"/>
      <c r="N282" s="3257"/>
      <c r="O282" s="463" t="s">
        <v>2088</v>
      </c>
      <c r="P282" s="2457" t="s">
        <v>2933</v>
      </c>
      <c r="Q282" s="1763"/>
      <c r="AE282" s="467"/>
      <c r="AF282" s="467"/>
    </row>
    <row r="283" spans="1:32" ht="11.25" customHeight="1">
      <c r="B283" s="140" t="s">
        <v>3644</v>
      </c>
      <c r="D283" s="140"/>
      <c r="E283" s="140"/>
      <c r="F283" s="140"/>
      <c r="G283" s="140"/>
      <c r="H283" s="39"/>
      <c r="I283" s="1760"/>
      <c r="J283" s="1760"/>
      <c r="K283" s="1760"/>
      <c r="L283" s="1748"/>
      <c r="M283" s="1748"/>
      <c r="N283" s="1748"/>
      <c r="O283" s="1748"/>
      <c r="P283" s="1748"/>
      <c r="Q283" s="896"/>
    </row>
    <row r="284" spans="1:32" ht="29.1" customHeight="1">
      <c r="A284" s="3302" t="s">
        <v>4952</v>
      </c>
      <c r="B284" s="3303"/>
      <c r="C284" s="3303"/>
      <c r="D284" s="3303"/>
      <c r="E284" s="3303"/>
      <c r="F284" s="3303"/>
      <c r="G284" s="3303"/>
      <c r="H284" s="3303"/>
      <c r="I284" s="3303"/>
      <c r="J284" s="3303"/>
      <c r="K284" s="3303"/>
      <c r="L284" s="3303"/>
      <c r="M284" s="3303"/>
      <c r="N284" s="3303"/>
      <c r="O284" s="3303"/>
      <c r="P284" s="3303"/>
      <c r="Q284" s="3304"/>
      <c r="R284" s="445" t="s">
        <v>1239</v>
      </c>
      <c r="S284" s="446"/>
      <c r="U284" s="135"/>
      <c r="V284" s="135"/>
      <c r="W284" s="135"/>
      <c r="X284" s="135"/>
      <c r="Y284" s="135"/>
      <c r="Z284" s="135"/>
      <c r="AA284" s="135"/>
      <c r="AB284" s="135"/>
      <c r="AC284" s="135"/>
      <c r="AD284" s="135"/>
      <c r="AE284" s="465"/>
    </row>
    <row r="285" spans="1:32" ht="11.25" customHeight="1">
      <c r="B285" s="136" t="s">
        <v>1841</v>
      </c>
      <c r="C285" s="137"/>
      <c r="D285" s="1751"/>
      <c r="E285" s="1751"/>
      <c r="F285" s="1751"/>
      <c r="G285" s="1751"/>
      <c r="H285" s="1751"/>
      <c r="I285" s="1751"/>
      <c r="J285" s="1751"/>
      <c r="K285" s="1751"/>
      <c r="L285" s="1751"/>
      <c r="M285" s="1751"/>
      <c r="N285" s="1751"/>
      <c r="O285" s="1751"/>
      <c r="P285" s="1751"/>
      <c r="Q285" s="1751"/>
    </row>
    <row r="286" spans="1:32" ht="13.35" customHeight="1">
      <c r="A286" s="3258"/>
      <c r="B286" s="3259"/>
      <c r="C286" s="3259"/>
      <c r="D286" s="3259"/>
      <c r="E286" s="3259"/>
      <c r="F286" s="3259"/>
      <c r="G286" s="3259"/>
      <c r="H286" s="3259"/>
      <c r="I286" s="3259"/>
      <c r="J286" s="3259"/>
      <c r="K286" s="3259"/>
      <c r="L286" s="3259"/>
      <c r="M286" s="3259"/>
      <c r="N286" s="3259"/>
      <c r="O286" s="3259"/>
      <c r="P286" s="3259"/>
      <c r="Q286" s="3260"/>
    </row>
    <row r="287" spans="1:32" ht="3" customHeight="1"/>
    <row r="288" spans="1:32" ht="14.1" customHeight="1">
      <c r="A288" s="1745" t="s">
        <v>3917</v>
      </c>
      <c r="B288" s="1745" t="s">
        <v>2627</v>
      </c>
      <c r="C288" s="1745"/>
      <c r="D288" s="1751"/>
      <c r="E288" s="1751"/>
      <c r="F288" s="1751"/>
      <c r="G288" s="1751"/>
      <c r="H288" s="1751"/>
      <c r="I288" s="1751"/>
      <c r="J288" s="1751"/>
      <c r="K288" s="1751"/>
      <c r="L288" s="1751"/>
      <c r="M288" s="1751"/>
      <c r="O288" s="131" t="s">
        <v>1842</v>
      </c>
      <c r="P288" s="3261"/>
      <c r="Q288" s="3262"/>
    </row>
    <row r="289" spans="1:32" s="414" customFormat="1" ht="33" customHeight="1">
      <c r="A289" s="141" t="s">
        <v>1957</v>
      </c>
      <c r="B289" s="3257" t="s">
        <v>4631</v>
      </c>
      <c r="C289" s="3257"/>
      <c r="D289" s="3257"/>
      <c r="E289" s="3257"/>
      <c r="F289" s="3257"/>
      <c r="G289" s="3257"/>
      <c r="H289" s="3257"/>
      <c r="I289" s="3257"/>
      <c r="J289" s="3257"/>
      <c r="K289" s="3257"/>
      <c r="L289" s="3257"/>
      <c r="M289" s="3257"/>
      <c r="N289" s="3257"/>
      <c r="O289" s="160" t="s">
        <v>1957</v>
      </c>
      <c r="P289" s="2456" t="s">
        <v>4920</v>
      </c>
      <c r="Q289" s="1148"/>
      <c r="AE289" s="468"/>
      <c r="AF289" s="468"/>
    </row>
    <row r="290" spans="1:32" s="414" customFormat="1" ht="21.75" customHeight="1">
      <c r="A290" s="141"/>
      <c r="B290" s="3257" t="s">
        <v>2764</v>
      </c>
      <c r="C290" s="3257"/>
      <c r="D290" s="3257"/>
      <c r="E290" s="3257"/>
      <c r="F290" s="3257"/>
      <c r="G290" s="3257"/>
      <c r="H290" s="3257"/>
      <c r="I290" s="3257"/>
      <c r="J290" s="3257"/>
      <c r="K290" s="3257"/>
      <c r="L290" s="3257"/>
      <c r="M290" s="3257"/>
      <c r="N290" s="3257"/>
      <c r="O290" s="160"/>
      <c r="P290" s="2457" t="s">
        <v>4920</v>
      </c>
      <c r="Q290" s="1763"/>
      <c r="AE290" s="468"/>
      <c r="AF290" s="468"/>
    </row>
    <row r="291" spans="1:32" s="26" customFormat="1" ht="11.4" customHeight="1">
      <c r="A291" s="138" t="s">
        <v>1959</v>
      </c>
      <c r="B291" s="177" t="s">
        <v>307</v>
      </c>
      <c r="C291" s="158"/>
      <c r="D291" s="572"/>
      <c r="E291" s="572"/>
      <c r="F291" s="158"/>
      <c r="H291" s="158"/>
      <c r="I291" s="158"/>
      <c r="J291" s="1549" t="s">
        <v>4452</v>
      </c>
      <c r="K291" s="3317" t="s">
        <v>3659</v>
      </c>
      <c r="L291" s="3318"/>
      <c r="M291" s="3318"/>
      <c r="N291" s="3319"/>
      <c r="O291" s="463" t="s">
        <v>1959</v>
      </c>
      <c r="P291" s="2457" t="s">
        <v>4920</v>
      </c>
      <c r="Q291" s="1763"/>
      <c r="R291" s="1020"/>
      <c r="S291" s="1133"/>
    </row>
    <row r="292" spans="1:32" s="26" customFormat="1" ht="11.4" customHeight="1">
      <c r="A292" s="138"/>
      <c r="B292" s="177"/>
      <c r="C292" s="158"/>
      <c r="D292" s="572"/>
      <c r="E292" s="572"/>
      <c r="F292" s="158"/>
      <c r="H292" s="158"/>
      <c r="I292" s="158"/>
      <c r="J292" s="1549" t="s">
        <v>4633</v>
      </c>
      <c r="K292" s="3317" t="s">
        <v>4440</v>
      </c>
      <c r="L292" s="3318"/>
      <c r="M292" s="3318"/>
      <c r="N292" s="3319"/>
      <c r="O292" s="463"/>
      <c r="P292" s="463"/>
      <c r="Q292" s="463"/>
      <c r="R292" s="463"/>
      <c r="S292" s="1133"/>
    </row>
    <row r="293" spans="1:32" s="102" customFormat="1" ht="11.4" customHeight="1">
      <c r="A293" s="41"/>
      <c r="B293" s="140" t="s">
        <v>3644</v>
      </c>
      <c r="C293" s="41"/>
      <c r="D293" s="47"/>
      <c r="E293" s="47"/>
      <c r="F293" s="47"/>
      <c r="G293" s="47"/>
      <c r="K293" s="35"/>
      <c r="M293" s="45"/>
      <c r="N293" s="5"/>
      <c r="O293" s="2"/>
      <c r="P293" s="1747"/>
    </row>
    <row r="294" spans="1:32" s="42" customFormat="1" ht="21.75" customHeight="1">
      <c r="A294" s="3302" t="s">
        <v>4953</v>
      </c>
      <c r="B294" s="3303"/>
      <c r="C294" s="3303"/>
      <c r="D294" s="3303"/>
      <c r="E294" s="3303"/>
      <c r="F294" s="3303"/>
      <c r="G294" s="3303"/>
      <c r="H294" s="3303"/>
      <c r="I294" s="3303"/>
      <c r="J294" s="3303"/>
      <c r="K294" s="3303"/>
      <c r="L294" s="3303"/>
      <c r="M294" s="3303"/>
      <c r="N294" s="3303"/>
      <c r="O294" s="3303"/>
      <c r="P294" s="3303"/>
      <c r="Q294" s="3304"/>
      <c r="R294" s="445" t="s">
        <v>1239</v>
      </c>
    </row>
    <row r="295" spans="1:32" s="42" customFormat="1" ht="11.25" customHeight="1">
      <c r="A295" s="34"/>
      <c r="B295" s="136" t="s">
        <v>1841</v>
      </c>
      <c r="C295" s="137"/>
      <c r="D295" s="1751"/>
      <c r="E295" s="1751"/>
      <c r="F295" s="1751"/>
      <c r="G295" s="1751"/>
      <c r="H295" s="1751"/>
      <c r="I295" s="1751"/>
      <c r="J295" s="1751"/>
      <c r="K295" s="1751"/>
      <c r="L295" s="1751"/>
      <c r="M295" s="1751"/>
      <c r="N295" s="1751"/>
      <c r="O295" s="1751"/>
      <c r="P295" s="1751"/>
      <c r="Q295" s="1751"/>
      <c r="R295" s="34"/>
    </row>
    <row r="296" spans="1:32" s="42" customFormat="1" ht="11.25" customHeight="1">
      <c r="A296" s="3258"/>
      <c r="B296" s="3259"/>
      <c r="C296" s="3259"/>
      <c r="D296" s="3259"/>
      <c r="E296" s="3259"/>
      <c r="F296" s="3259"/>
      <c r="G296" s="3259"/>
      <c r="H296" s="3259"/>
      <c r="I296" s="3259"/>
      <c r="J296" s="3259"/>
      <c r="K296" s="3259"/>
      <c r="L296" s="3259"/>
      <c r="M296" s="3259"/>
      <c r="N296" s="3259"/>
      <c r="O296" s="3259"/>
      <c r="P296" s="3259"/>
      <c r="Q296" s="3260"/>
      <c r="R296" s="34"/>
    </row>
    <row r="297" spans="1:32" s="42" customFormat="1" ht="3" customHeight="1">
      <c r="A297" s="41"/>
      <c r="D297" s="38"/>
      <c r="E297" s="35"/>
      <c r="F297" s="887"/>
      <c r="G297" s="887"/>
      <c r="H297" s="887"/>
      <c r="I297" s="887"/>
      <c r="J297" s="897"/>
      <c r="K297" s="897"/>
      <c r="L297" s="897"/>
      <c r="M297" s="59"/>
      <c r="N297" s="887"/>
      <c r="O297" s="1750"/>
      <c r="P297" s="2"/>
    </row>
    <row r="298" spans="1:32" ht="14.1" customHeight="1">
      <c r="A298" s="1745" t="s">
        <v>3918</v>
      </c>
      <c r="B298" s="1745" t="s">
        <v>2628</v>
      </c>
      <c r="C298" s="1744"/>
      <c r="D298" s="1757"/>
      <c r="E298" s="1751"/>
      <c r="F298" s="1751"/>
      <c r="G298" s="1751"/>
      <c r="H298" s="1751"/>
      <c r="I298" s="1751"/>
      <c r="J298" s="1751"/>
      <c r="K298" s="1751"/>
      <c r="L298" s="1751"/>
      <c r="M298" s="1751"/>
      <c r="O298" s="131" t="s">
        <v>1842</v>
      </c>
      <c r="P298" s="3261"/>
      <c r="Q298" s="3262"/>
    </row>
    <row r="299" spans="1:32" ht="12.75" customHeight="1">
      <c r="A299" s="13" t="s">
        <v>1957</v>
      </c>
      <c r="B299" s="1745" t="s">
        <v>3934</v>
      </c>
    </row>
    <row r="300" spans="1:32" s="147" customFormat="1" ht="44.25" customHeight="1">
      <c r="A300" s="141"/>
      <c r="B300" s="1617" t="s">
        <v>1716</v>
      </c>
      <c r="C300" s="3257" t="s">
        <v>3771</v>
      </c>
      <c r="D300" s="3257"/>
      <c r="E300" s="3257"/>
      <c r="F300" s="3257"/>
      <c r="G300" s="3257"/>
      <c r="H300" s="3257"/>
      <c r="I300" s="3257"/>
      <c r="J300" s="3257"/>
      <c r="K300" s="3257"/>
      <c r="L300" s="3257"/>
      <c r="M300" s="3257"/>
      <c r="N300" s="3257"/>
      <c r="O300" s="160" t="s">
        <v>2684</v>
      </c>
      <c r="P300" s="2456" t="s">
        <v>2933</v>
      </c>
      <c r="Q300" s="1148"/>
      <c r="AE300" s="467"/>
      <c r="AF300" s="467"/>
    </row>
    <row r="301" spans="1:32" s="414" customFormat="1" ht="12" customHeight="1">
      <c r="A301" s="141"/>
      <c r="B301" s="1617" t="s">
        <v>1717</v>
      </c>
      <c r="C301" s="3257" t="s">
        <v>3772</v>
      </c>
      <c r="D301" s="3257"/>
      <c r="E301" s="3257"/>
      <c r="F301" s="3257"/>
      <c r="G301" s="3257"/>
      <c r="H301" s="3257"/>
      <c r="I301" s="3257"/>
      <c r="J301" s="3257"/>
      <c r="K301" s="3257"/>
      <c r="L301" s="3257"/>
      <c r="M301" s="3257"/>
      <c r="N301" s="3257"/>
      <c r="O301" s="148" t="s">
        <v>1717</v>
      </c>
      <c r="P301" s="2454" t="s">
        <v>2933</v>
      </c>
      <c r="Q301" s="1754"/>
      <c r="AE301" s="468"/>
      <c r="AF301" s="468"/>
    </row>
    <row r="302" spans="1:32" s="414" customFormat="1" ht="21.75" customHeight="1">
      <c r="A302" s="141"/>
      <c r="B302" s="477" t="s">
        <v>1718</v>
      </c>
      <c r="C302" s="3257" t="s">
        <v>3770</v>
      </c>
      <c r="D302" s="3257"/>
      <c r="E302" s="3257"/>
      <c r="F302" s="3257"/>
      <c r="G302" s="3257"/>
      <c r="H302" s="3257"/>
      <c r="I302" s="3257"/>
      <c r="J302" s="3257"/>
      <c r="K302" s="3257"/>
      <c r="L302" s="3257"/>
      <c r="M302" s="3257"/>
      <c r="N302" s="3257"/>
      <c r="O302" s="160" t="s">
        <v>1718</v>
      </c>
      <c r="P302" s="2457"/>
      <c r="Q302" s="1763"/>
      <c r="AE302" s="468"/>
      <c r="AF302" s="468"/>
    </row>
    <row r="303" spans="1:32" s="94" customFormat="1" ht="12.75" customHeight="1">
      <c r="A303" s="13" t="s">
        <v>1959</v>
      </c>
      <c r="B303" s="1745" t="s">
        <v>3744</v>
      </c>
      <c r="D303" s="1214"/>
      <c r="E303" s="1214"/>
      <c r="F303" s="1214"/>
      <c r="G303" s="1214"/>
      <c r="H303" s="1214"/>
      <c r="I303" s="1214"/>
      <c r="J303" s="1214"/>
      <c r="K303" s="1214"/>
      <c r="L303" s="1214"/>
      <c r="M303" s="1214"/>
      <c r="N303" s="1214"/>
      <c r="O303" s="463"/>
      <c r="P303" s="463"/>
      <c r="Q303" s="463"/>
      <c r="AE303" s="469"/>
    </row>
    <row r="304" spans="1:32" s="94" customFormat="1" ht="11.25" customHeight="1">
      <c r="A304" s="175"/>
      <c r="B304" s="1617" t="s">
        <v>1716</v>
      </c>
      <c r="C304" s="3257" t="s">
        <v>3641</v>
      </c>
      <c r="D304" s="3257"/>
      <c r="E304" s="3257"/>
      <c r="F304" s="3257"/>
      <c r="G304" s="3257"/>
      <c r="H304" s="3257"/>
      <c r="I304" s="139"/>
      <c r="J304" s="3326" t="s">
        <v>3680</v>
      </c>
      <c r="K304" s="3327"/>
      <c r="L304" s="3327"/>
      <c r="M304" s="3350" t="s">
        <v>3652</v>
      </c>
      <c r="N304" s="3350"/>
      <c r="AE304" s="469"/>
      <c r="AF304" s="469"/>
    </row>
    <row r="305" spans="1:33" s="294" customFormat="1" ht="10.5" customHeight="1">
      <c r="A305" s="305"/>
      <c r="B305" s="1718"/>
      <c r="C305" s="3257"/>
      <c r="D305" s="3257"/>
      <c r="E305" s="3257"/>
      <c r="F305" s="3257"/>
      <c r="G305" s="3257"/>
      <c r="H305" s="3257"/>
      <c r="I305" s="1729"/>
      <c r="J305" s="3327"/>
      <c r="K305" s="3327"/>
      <c r="L305" s="3327"/>
      <c r="M305" s="35" t="s">
        <v>3653</v>
      </c>
      <c r="N305" s="1760" t="s">
        <v>3679</v>
      </c>
      <c r="P305" s="303"/>
    </row>
    <row r="306" spans="1:33" s="294" customFormat="1" ht="13.35" customHeight="1">
      <c r="A306" s="305"/>
      <c r="B306" s="1718"/>
      <c r="C306" s="3257"/>
      <c r="D306" s="3257"/>
      <c r="E306" s="3257"/>
      <c r="F306" s="3257"/>
      <c r="G306" s="3257"/>
      <c r="H306" s="3257"/>
      <c r="I306" s="51" t="s">
        <v>3935</v>
      </c>
      <c r="K306" s="2463">
        <v>5</v>
      </c>
      <c r="L306" s="1016" t="str">
        <f>IF(K306&lt;M306,"Check!!!","")</f>
        <v/>
      </c>
      <c r="M306" s="1017">
        <f>ROUNDUP('Part VI-Revenues &amp; Expenses'!$O$67*'Part VIII-Threshold Criteria'!N306,0)</f>
        <v>5</v>
      </c>
      <c r="N306" s="1582">
        <f>'DCA Underwriting Assumptions'!$Q$139</f>
        <v>0.05</v>
      </c>
      <c r="O306" s="463" t="s">
        <v>3544</v>
      </c>
      <c r="P306" s="2444" t="s">
        <v>2933</v>
      </c>
      <c r="Q306" s="534"/>
      <c r="V306" s="35"/>
      <c r="X306" s="35"/>
      <c r="Z306" s="1016" t="str">
        <f>IF(AA306="","",IF(AA306&lt;AC306,"Check!!!",""))</f>
        <v/>
      </c>
      <c r="AA306" s="1016" t="str">
        <f t="shared" ref="AA306:AG306" si="8">IF(AB306="","",IF(AB306&lt;AD306,"Check!!!",""))</f>
        <v/>
      </c>
      <c r="AB306" s="1016" t="str">
        <f t="shared" si="8"/>
        <v/>
      </c>
      <c r="AC306" s="1016" t="str">
        <f t="shared" si="8"/>
        <v/>
      </c>
      <c r="AD306" s="1016" t="str">
        <f t="shared" si="8"/>
        <v/>
      </c>
      <c r="AE306" s="1016" t="str">
        <f t="shared" si="8"/>
        <v/>
      </c>
      <c r="AF306" s="1016" t="str">
        <f t="shared" si="8"/>
        <v/>
      </c>
      <c r="AG306" s="1016" t="str">
        <f t="shared" si="8"/>
        <v/>
      </c>
    </row>
    <row r="307" spans="1:33" s="94" customFormat="1" ht="12.75" customHeight="1">
      <c r="A307" s="141"/>
      <c r="B307" s="1617"/>
      <c r="C307" s="3257" t="s">
        <v>3642</v>
      </c>
      <c r="D307" s="3257"/>
      <c r="E307" s="3257"/>
      <c r="F307" s="3257"/>
      <c r="G307" s="3257"/>
      <c r="H307" s="3257"/>
      <c r="I307" s="884" t="s">
        <v>3936</v>
      </c>
      <c r="J307" s="294"/>
      <c r="K307" s="2463">
        <v>2</v>
      </c>
      <c r="L307" s="1016" t="str">
        <f>IF(K307&lt;M307,"Check!!!","")</f>
        <v/>
      </c>
      <c r="M307" s="1017">
        <f>ROUNDUP(K306*'Part VIII-Threshold Criteria'!N307,0)</f>
        <v>2</v>
      </c>
      <c r="N307" s="1582">
        <f>'DCA Underwriting Assumptions'!$Q$140</f>
        <v>0.4</v>
      </c>
      <c r="O307" s="463" t="s">
        <v>2090</v>
      </c>
      <c r="P307" s="3322" t="s">
        <v>2933</v>
      </c>
      <c r="Q307" s="3321"/>
      <c r="T307" s="139"/>
      <c r="U307" s="139"/>
      <c r="V307" s="139"/>
      <c r="W307" s="139"/>
      <c r="X307" s="139"/>
      <c r="Y307" s="139"/>
      <c r="Z307" s="139"/>
      <c r="AA307" s="139"/>
      <c r="AB307" s="139"/>
      <c r="AC307" s="139"/>
      <c r="AD307" s="139"/>
      <c r="AE307" s="139"/>
      <c r="AF307" s="139"/>
      <c r="AG307" s="139"/>
    </row>
    <row r="308" spans="1:33" s="294" customFormat="1" ht="10.5" customHeight="1">
      <c r="A308" s="305"/>
      <c r="B308" s="1718"/>
      <c r="C308" s="3257"/>
      <c r="D308" s="3257"/>
      <c r="E308" s="3257"/>
      <c r="F308" s="3257"/>
      <c r="G308" s="3257"/>
      <c r="H308" s="3257"/>
      <c r="O308" s="39"/>
      <c r="P308" s="3322"/>
      <c r="Q308" s="3321"/>
      <c r="V308" s="35"/>
      <c r="W308" s="884"/>
      <c r="X308" s="35"/>
      <c r="Z308" s="1016" t="str">
        <f>IF(AA308="","",IF(AA308&lt;AC308,"Check!!!",""))</f>
        <v/>
      </c>
      <c r="AA308" s="1016" t="str">
        <f t="shared" ref="AA308:AG308" si="9">IF(AB308="","",IF(AB308&lt;AD308,"Check!!!",""))</f>
        <v/>
      </c>
      <c r="AB308" s="1016" t="str">
        <f t="shared" si="9"/>
        <v/>
      </c>
      <c r="AC308" s="1016" t="str">
        <f t="shared" si="9"/>
        <v/>
      </c>
      <c r="AD308" s="1016" t="str">
        <f t="shared" si="9"/>
        <v/>
      </c>
      <c r="AE308" s="1016" t="str">
        <f t="shared" si="9"/>
        <v/>
      </c>
      <c r="AF308" s="1016" t="str">
        <f t="shared" si="9"/>
        <v/>
      </c>
      <c r="AG308" s="1016" t="str">
        <f t="shared" si="9"/>
        <v/>
      </c>
    </row>
    <row r="309" spans="1:33" s="94" customFormat="1" ht="12.75" customHeight="1">
      <c r="A309" s="141"/>
      <c r="B309" s="1617" t="s">
        <v>1717</v>
      </c>
      <c r="C309" s="3257" t="s">
        <v>3643</v>
      </c>
      <c r="D309" s="3257"/>
      <c r="E309" s="3257"/>
      <c r="F309" s="3257"/>
      <c r="G309" s="3257"/>
      <c r="H309" s="3257"/>
      <c r="I309" s="51" t="s">
        <v>3937</v>
      </c>
      <c r="J309" s="294"/>
      <c r="K309" s="2463">
        <v>2</v>
      </c>
      <c r="L309" s="1016" t="str">
        <f>IF(K309&lt;M309,"Check!!!","")</f>
        <v/>
      </c>
      <c r="M309" s="1017">
        <f>ROUNDUP('Part VI-Revenues &amp; Expenses'!$O$67*'Part VIII-Threshold Criteria'!N309,0)</f>
        <v>2</v>
      </c>
      <c r="N309" s="1582">
        <f>'DCA Underwriting Assumptions'!$Q$141</f>
        <v>0.02</v>
      </c>
      <c r="O309" s="463" t="s">
        <v>1717</v>
      </c>
      <c r="P309" s="2446" t="s">
        <v>2933</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257"/>
      <c r="D310" s="3257"/>
      <c r="E310" s="3257"/>
      <c r="F310" s="3257"/>
      <c r="G310" s="3257"/>
      <c r="H310" s="3257"/>
      <c r="J310" s="35"/>
      <c r="K310" s="35"/>
      <c r="L310" s="897"/>
      <c r="M310" s="1765"/>
      <c r="O310" s="35"/>
      <c r="P310" s="1760"/>
      <c r="Q310" s="35"/>
      <c r="T310" s="35"/>
      <c r="U310" s="884"/>
      <c r="V310" s="35"/>
      <c r="W310" s="884"/>
      <c r="X310" s="35"/>
      <c r="Y310" s="35"/>
      <c r="Z310" s="35"/>
      <c r="AA310" s="35"/>
      <c r="AB310" s="35"/>
      <c r="AC310" s="35"/>
      <c r="AD310" s="35"/>
      <c r="AE310" s="35"/>
      <c r="AF310" s="35"/>
      <c r="AG310" s="35"/>
    </row>
    <row r="311" spans="1:33" s="294" customFormat="1" ht="10.5" customHeight="1">
      <c r="A311" s="305"/>
      <c r="C311" s="3257"/>
      <c r="D311" s="3257"/>
      <c r="E311" s="3257"/>
      <c r="F311" s="3257"/>
      <c r="G311" s="3257"/>
      <c r="H311" s="3257"/>
      <c r="O311" s="39"/>
      <c r="P311" s="463"/>
      <c r="V311" s="35"/>
      <c r="W311" s="884"/>
      <c r="X311" s="35"/>
      <c r="Z311" s="1016" t="str">
        <f>IF(AA311="","",IF(AA311&lt;AC311,"Check!!!",""))</f>
        <v/>
      </c>
      <c r="AA311" s="1016" t="str">
        <f t="shared" ref="AA311:AG311" si="10">IF(AB311="","",IF(AB311&lt;AD311,"Check!!!",""))</f>
        <v/>
      </c>
      <c r="AB311" s="1016" t="str">
        <f t="shared" si="10"/>
        <v/>
      </c>
      <c r="AC311" s="1016" t="str">
        <f t="shared" si="10"/>
        <v/>
      </c>
      <c r="AD311" s="1016" t="str">
        <f t="shared" si="10"/>
        <v/>
      </c>
      <c r="AE311" s="1016" t="str">
        <f t="shared" si="10"/>
        <v/>
      </c>
      <c r="AF311" s="1016" t="str">
        <f t="shared" si="10"/>
        <v/>
      </c>
      <c r="AG311" s="1016" t="str">
        <f t="shared" si="10"/>
        <v/>
      </c>
    </row>
    <row r="312" spans="1:33" s="294" customFormat="1" ht="10.5" customHeight="1">
      <c r="A312" s="13" t="s">
        <v>738</v>
      </c>
      <c r="B312" s="1745" t="s">
        <v>3745</v>
      </c>
      <c r="D312" s="1751"/>
      <c r="E312" s="1751"/>
      <c r="F312" s="1751"/>
      <c r="G312" s="1751"/>
      <c r="H312" s="1751"/>
      <c r="O312" s="39"/>
      <c r="P312" s="463"/>
      <c r="V312" s="35"/>
      <c r="W312" s="884"/>
      <c r="X312" s="35"/>
      <c r="Z312" s="1016"/>
      <c r="AA312" s="1016"/>
      <c r="AB312" s="1016"/>
      <c r="AC312" s="1016"/>
      <c r="AD312" s="1016"/>
      <c r="AE312" s="1016"/>
      <c r="AF312" s="1016"/>
      <c r="AG312" s="1016"/>
    </row>
    <row r="313" spans="1:33" s="94" customFormat="1" ht="21.75" customHeight="1">
      <c r="B313" s="3320" t="s">
        <v>3546</v>
      </c>
      <c r="C313" s="3320"/>
      <c r="D313" s="3320"/>
      <c r="E313" s="3320"/>
      <c r="F313" s="3320"/>
      <c r="G313" s="3320"/>
      <c r="H313" s="3320"/>
      <c r="I313" s="3320"/>
      <c r="J313" s="3320"/>
      <c r="K313" s="3320"/>
      <c r="L313" s="3320"/>
      <c r="M313" s="3320"/>
      <c r="N313" s="3320"/>
      <c r="O313" s="160" t="s">
        <v>738</v>
      </c>
      <c r="P313" s="2464" t="s">
        <v>2933</v>
      </c>
      <c r="Q313" s="1149"/>
      <c r="AE313" s="469"/>
      <c r="AF313" s="469"/>
    </row>
    <row r="314" spans="1:33" s="94" customFormat="1" ht="11.25" customHeight="1">
      <c r="B314" s="391" t="s">
        <v>3547</v>
      </c>
      <c r="D314" s="391"/>
      <c r="E314" s="391"/>
      <c r="F314" s="391"/>
      <c r="G314" s="391"/>
      <c r="H314" s="391"/>
      <c r="I314" s="391" t="s">
        <v>3651</v>
      </c>
      <c r="J314" s="391"/>
      <c r="K314" s="391"/>
      <c r="L314" s="3323" t="s">
        <v>4954</v>
      </c>
      <c r="M314" s="3324"/>
      <c r="N314" s="3324"/>
      <c r="O314" s="3325"/>
      <c r="P314" s="391"/>
      <c r="Q314" s="391"/>
      <c r="R314" s="391"/>
      <c r="AE314" s="469"/>
      <c r="AF314" s="469"/>
    </row>
    <row r="315" spans="1:33" s="414" customFormat="1" ht="44.25" customHeight="1">
      <c r="B315" s="1617" t="s">
        <v>1716</v>
      </c>
      <c r="C315" s="3257" t="s">
        <v>3545</v>
      </c>
      <c r="D315" s="3257"/>
      <c r="E315" s="3257"/>
      <c r="F315" s="3257"/>
      <c r="G315" s="3257"/>
      <c r="H315" s="3257"/>
      <c r="I315" s="3257"/>
      <c r="J315" s="3257"/>
      <c r="K315" s="3257"/>
      <c r="L315" s="3257"/>
      <c r="M315" s="3257"/>
      <c r="N315" s="3257"/>
      <c r="O315" s="160" t="s">
        <v>3550</v>
      </c>
      <c r="P315" s="2456" t="s">
        <v>2933</v>
      </c>
      <c r="Q315" s="1148"/>
      <c r="AE315" s="468"/>
      <c r="AF315" s="468"/>
    </row>
    <row r="316" spans="1:33" s="414" customFormat="1" ht="34.5" customHeight="1">
      <c r="B316" s="1617" t="s">
        <v>1717</v>
      </c>
      <c r="C316" s="3257" t="s">
        <v>4577</v>
      </c>
      <c r="D316" s="3257"/>
      <c r="E316" s="3257"/>
      <c r="F316" s="3257"/>
      <c r="G316" s="3257"/>
      <c r="H316" s="3257"/>
      <c r="I316" s="3257"/>
      <c r="J316" s="3257"/>
      <c r="K316" s="3257"/>
      <c r="L316" s="3257"/>
      <c r="M316" s="3257"/>
      <c r="N316" s="3257"/>
      <c r="O316" s="160" t="s">
        <v>3551</v>
      </c>
      <c r="P316" s="2454" t="s">
        <v>2933</v>
      </c>
      <c r="Q316" s="1754"/>
      <c r="AE316" s="468"/>
      <c r="AF316" s="468"/>
    </row>
    <row r="317" spans="1:33" s="414" customFormat="1" ht="22.5" customHeight="1">
      <c r="B317" s="477" t="s">
        <v>1718</v>
      </c>
      <c r="C317" s="3257" t="s">
        <v>3548</v>
      </c>
      <c r="D317" s="3257"/>
      <c r="E317" s="3257"/>
      <c r="F317" s="3257"/>
      <c r="G317" s="3257"/>
      <c r="H317" s="3257"/>
      <c r="I317" s="3257"/>
      <c r="J317" s="3257"/>
      <c r="K317" s="3257"/>
      <c r="L317" s="3257"/>
      <c r="M317" s="3257"/>
      <c r="N317" s="3257"/>
      <c r="O317" s="160" t="s">
        <v>3552</v>
      </c>
      <c r="P317" s="2454" t="s">
        <v>2933</v>
      </c>
      <c r="Q317" s="1754"/>
      <c r="AE317" s="468"/>
      <c r="AF317" s="468"/>
    </row>
    <row r="318" spans="1:33" s="414" customFormat="1" ht="32.25" customHeight="1">
      <c r="B318" s="477" t="s">
        <v>2336</v>
      </c>
      <c r="C318" s="3257" t="s">
        <v>3549</v>
      </c>
      <c r="D318" s="3257"/>
      <c r="E318" s="3257"/>
      <c r="F318" s="3257"/>
      <c r="G318" s="3257"/>
      <c r="H318" s="3257"/>
      <c r="I318" s="3257"/>
      <c r="J318" s="3257"/>
      <c r="K318" s="3257"/>
      <c r="L318" s="3257"/>
      <c r="M318" s="3257"/>
      <c r="N318" s="3257"/>
      <c r="O318" s="160" t="s">
        <v>3553</v>
      </c>
      <c r="P318" s="2457" t="s">
        <v>2933</v>
      </c>
      <c r="Q318" s="1763"/>
      <c r="AE318" s="468"/>
      <c r="AF318" s="468"/>
    </row>
    <row r="319" spans="1:33" ht="11.25" customHeight="1">
      <c r="B319" s="140" t="s">
        <v>3644</v>
      </c>
      <c r="D319" s="140"/>
      <c r="E319" s="140"/>
      <c r="F319" s="140"/>
      <c r="G319" s="140"/>
      <c r="H319" s="39"/>
      <c r="I319" s="1760"/>
      <c r="J319" s="1760"/>
      <c r="K319" s="1760"/>
      <c r="L319" s="1748"/>
      <c r="M319" s="1748"/>
      <c r="N319" s="1748"/>
      <c r="O319" s="1748"/>
      <c r="P319" s="1748"/>
      <c r="Q319" s="896"/>
    </row>
    <row r="320" spans="1:33" ht="32.25" customHeight="1">
      <c r="A320" s="3302" t="s">
        <v>4955</v>
      </c>
      <c r="B320" s="3303"/>
      <c r="C320" s="3303"/>
      <c r="D320" s="3303"/>
      <c r="E320" s="3303"/>
      <c r="F320" s="3303"/>
      <c r="G320" s="3303"/>
      <c r="H320" s="3303"/>
      <c r="I320" s="3303"/>
      <c r="J320" s="3303"/>
      <c r="K320" s="3303"/>
      <c r="L320" s="3303"/>
      <c r="M320" s="3303"/>
      <c r="N320" s="3303"/>
      <c r="O320" s="3303"/>
      <c r="P320" s="3303"/>
      <c r="Q320" s="3304"/>
      <c r="R320" s="445" t="s">
        <v>1239</v>
      </c>
      <c r="S320" s="446"/>
      <c r="U320" s="135"/>
      <c r="V320" s="135"/>
      <c r="W320" s="135"/>
      <c r="X320" s="135"/>
      <c r="Y320" s="135"/>
      <c r="Z320" s="135"/>
      <c r="AA320" s="135"/>
      <c r="AB320" s="135"/>
      <c r="AC320" s="135"/>
      <c r="AD320" s="135"/>
      <c r="AE320" s="465"/>
    </row>
    <row r="321" spans="1:256 1523:1523" ht="11.25" customHeight="1">
      <c r="B321" s="136" t="s">
        <v>1841</v>
      </c>
      <c r="C321" s="137"/>
      <c r="D321" s="1751"/>
      <c r="E321" s="1751"/>
      <c r="F321" s="1751"/>
      <c r="G321" s="1751"/>
      <c r="H321" s="1751"/>
      <c r="I321" s="1751"/>
      <c r="J321" s="1751"/>
      <c r="K321" s="1751"/>
      <c r="L321" s="1751"/>
      <c r="M321" s="1751"/>
      <c r="N321" s="1751"/>
      <c r="O321" s="1751"/>
      <c r="P321" s="1751"/>
      <c r="Q321" s="1751"/>
    </row>
    <row r="322" spans="1:256 1523:1523" ht="45.75" customHeight="1">
      <c r="A322" s="3328"/>
      <c r="B322" s="3329"/>
      <c r="C322" s="3329"/>
      <c r="D322" s="3329"/>
      <c r="E322" s="3329"/>
      <c r="F322" s="3329"/>
      <c r="G322" s="3329"/>
      <c r="H322" s="3329"/>
      <c r="I322" s="3329"/>
      <c r="J322" s="3329"/>
      <c r="K322" s="3329"/>
      <c r="L322" s="3329"/>
      <c r="M322" s="3329"/>
      <c r="N322" s="3329"/>
      <c r="O322" s="3329"/>
      <c r="P322" s="3329"/>
      <c r="Q322" s="3330"/>
    </row>
    <row r="323" spans="1:256 1523:1523" ht="14.1" customHeight="1">
      <c r="A323" s="1745" t="s">
        <v>3916</v>
      </c>
      <c r="B323" s="9" t="s">
        <v>2629</v>
      </c>
      <c r="C323" s="9"/>
      <c r="D323" s="9"/>
      <c r="E323" s="9"/>
      <c r="F323" s="9"/>
      <c r="G323" s="9"/>
      <c r="H323" s="1751"/>
      <c r="I323" s="1751"/>
      <c r="J323" s="1751"/>
      <c r="K323" s="1751"/>
      <c r="L323" s="1751"/>
      <c r="M323" s="1751"/>
      <c r="O323" s="131" t="s">
        <v>1842</v>
      </c>
      <c r="P323" s="3331"/>
      <c r="Q323" s="3332"/>
    </row>
    <row r="324" spans="1:256 1523:1523" ht="11.4" customHeight="1">
      <c r="B324" s="144" t="s">
        <v>2224</v>
      </c>
      <c r="P324" s="2444" t="s">
        <v>2933</v>
      </c>
      <c r="Q324" s="534"/>
    </row>
    <row r="325" spans="1:256 1523:1523" ht="12" customHeight="1">
      <c r="B325" s="879" t="s">
        <v>2183</v>
      </c>
      <c r="C325" s="879"/>
      <c r="D325" s="879"/>
      <c r="E325" s="879"/>
      <c r="F325" s="879"/>
      <c r="G325" s="879"/>
      <c r="H325" s="879"/>
      <c r="I325" s="879"/>
      <c r="J325" s="879"/>
      <c r="K325" s="879"/>
      <c r="L325" s="879"/>
      <c r="P325" s="2446" t="s">
        <v>2933</v>
      </c>
      <c r="Q325" s="536"/>
    </row>
    <row r="326" spans="1:256 1523:1523" ht="11.4" customHeight="1">
      <c r="A326" s="141" t="s">
        <v>1957</v>
      </c>
      <c r="B326" s="180" t="s">
        <v>455</v>
      </c>
      <c r="D326" s="897"/>
      <c r="E326" s="897"/>
      <c r="F326" s="897"/>
      <c r="G326" s="897"/>
      <c r="H326" s="897"/>
      <c r="I326" s="897"/>
      <c r="J326" s="897"/>
      <c r="K326" s="897"/>
      <c r="L326" s="897"/>
      <c r="M326" s="897"/>
      <c r="N326" s="160"/>
    </row>
    <row r="327" spans="1:256 1523:1523" ht="22.5" customHeight="1">
      <c r="B327" s="3257" t="s">
        <v>2826</v>
      </c>
      <c r="C327" s="3257"/>
      <c r="D327" s="3257"/>
      <c r="E327" s="3257"/>
      <c r="F327" s="3257"/>
      <c r="G327" s="3257"/>
      <c r="H327" s="3257"/>
      <c r="I327" s="3257"/>
      <c r="J327" s="3257"/>
      <c r="K327" s="3257"/>
      <c r="L327" s="3257"/>
      <c r="M327" s="3257"/>
      <c r="N327" s="3257"/>
      <c r="O327" s="160" t="s">
        <v>1957</v>
      </c>
      <c r="P327" s="2465"/>
      <c r="Q327" s="537"/>
    </row>
    <row r="328" spans="1:256 1523:1523" ht="12.6" customHeight="1">
      <c r="A328" s="141" t="s">
        <v>1959</v>
      </c>
      <c r="B328" s="214" t="s">
        <v>456</v>
      </c>
      <c r="D328" s="214"/>
      <c r="E328" s="214"/>
      <c r="F328" s="214"/>
      <c r="G328" s="214"/>
      <c r="H328" s="214"/>
      <c r="I328" s="214"/>
      <c r="J328" s="214"/>
      <c r="K328" s="214"/>
      <c r="L328" s="214"/>
      <c r="M328" s="214"/>
      <c r="O328" s="160" t="s">
        <v>1959</v>
      </c>
      <c r="P328" s="1748"/>
      <c r="Q328" s="896"/>
    </row>
    <row r="329" spans="1:256 1523:1523" ht="36" customHeight="1">
      <c r="B329" s="879" t="s">
        <v>1716</v>
      </c>
      <c r="C329" s="213" t="s">
        <v>1118</v>
      </c>
      <c r="E329" s="132"/>
      <c r="F329" s="132"/>
      <c r="G329" s="3312" t="s">
        <v>4590</v>
      </c>
      <c r="H329" s="3313"/>
      <c r="I329" s="3313"/>
      <c r="J329" s="3313"/>
      <c r="K329" s="3313"/>
      <c r="L329" s="3313"/>
      <c r="M329" s="3313"/>
      <c r="N329" s="3314"/>
      <c r="O329" s="216" t="s">
        <v>1716</v>
      </c>
      <c r="P329" s="2456" t="s">
        <v>2933</v>
      </c>
      <c r="Q329" s="1148"/>
      <c r="BFO329" s="147" t="s">
        <v>2685</v>
      </c>
    </row>
    <row r="330" spans="1:256 1523:1523" ht="23.25" customHeight="1">
      <c r="B330" s="879" t="s">
        <v>1717</v>
      </c>
      <c r="C330" s="3257" t="s">
        <v>1119</v>
      </c>
      <c r="D330" s="3257"/>
      <c r="E330" s="3257"/>
      <c r="F330" s="3333"/>
      <c r="G330" s="2733" t="s">
        <v>2613</v>
      </c>
      <c r="H330" s="3315"/>
      <c r="I330" s="3315"/>
      <c r="J330" s="3315"/>
      <c r="K330" s="3315"/>
      <c r="L330" s="3315"/>
      <c r="M330" s="3315"/>
      <c r="N330" s="3316"/>
      <c r="O330" s="216" t="s">
        <v>1717</v>
      </c>
      <c r="P330" s="2457" t="s">
        <v>2933</v>
      </c>
      <c r="Q330" s="1763"/>
    </row>
    <row r="331" spans="1:256 1523:1523" ht="3" customHeight="1">
      <c r="A331" s="1748"/>
      <c r="B331" s="1167"/>
      <c r="C331" s="1748"/>
      <c r="D331" s="1748"/>
      <c r="E331" s="1748"/>
      <c r="F331" s="1748"/>
      <c r="G331" s="1748"/>
      <c r="H331" s="1748"/>
      <c r="I331" s="1748"/>
      <c r="J331" s="1748"/>
      <c r="K331" s="1748"/>
      <c r="L331" s="1748"/>
      <c r="M331" s="1748"/>
      <c r="N331" s="1748"/>
      <c r="O331" s="1748"/>
      <c r="P331" s="1748"/>
      <c r="Q331" s="1748"/>
      <c r="R331" s="1748"/>
      <c r="S331" s="1748"/>
      <c r="T331" s="1748"/>
      <c r="U331" s="1748"/>
      <c r="V331" s="1748"/>
      <c r="W331" s="1748"/>
      <c r="X331" s="1748"/>
      <c r="Y331" s="1748"/>
      <c r="Z331" s="1748"/>
      <c r="AA331" s="1748"/>
      <c r="AB331" s="1748"/>
      <c r="AC331" s="1748"/>
      <c r="AD331" s="1748"/>
      <c r="AE331" s="896"/>
      <c r="AF331" s="896"/>
      <c r="AG331" s="1748"/>
      <c r="AH331" s="1748"/>
      <c r="AI331" s="1748"/>
      <c r="AJ331" s="1748"/>
      <c r="AK331" s="1748"/>
      <c r="AL331" s="1748"/>
      <c r="AM331" s="1748"/>
      <c r="AN331" s="1748"/>
      <c r="AO331" s="1748"/>
      <c r="AP331" s="1748"/>
      <c r="AQ331" s="1748"/>
      <c r="AR331" s="1748"/>
      <c r="AS331" s="1748"/>
      <c r="AT331" s="1748"/>
      <c r="AU331" s="1748"/>
      <c r="AV331" s="1748"/>
      <c r="AW331" s="1748"/>
      <c r="AX331" s="1748"/>
      <c r="AY331" s="1748"/>
      <c r="AZ331" s="1748"/>
      <c r="BA331" s="1748"/>
      <c r="BB331" s="1748"/>
      <c r="BC331" s="1748"/>
      <c r="BD331" s="1748"/>
      <c r="BE331" s="1748"/>
      <c r="BF331" s="1748"/>
      <c r="BG331" s="1748"/>
      <c r="BH331" s="1748"/>
      <c r="BI331" s="1748"/>
      <c r="BJ331" s="1748"/>
      <c r="BK331" s="1748"/>
      <c r="BL331" s="1748"/>
      <c r="BM331" s="1748"/>
      <c r="BN331" s="1748"/>
      <c r="BO331" s="1748"/>
      <c r="BP331" s="1748"/>
      <c r="BQ331" s="1748"/>
      <c r="BR331" s="1748"/>
      <c r="BS331" s="1748"/>
      <c r="BT331" s="1748"/>
      <c r="BU331" s="1748"/>
      <c r="BV331" s="1748"/>
      <c r="BW331" s="1748"/>
      <c r="BX331" s="1748"/>
      <c r="BY331" s="1748"/>
      <c r="BZ331" s="1748"/>
      <c r="CA331" s="1748"/>
      <c r="CB331" s="1748"/>
      <c r="CC331" s="1748"/>
      <c r="CD331" s="1748"/>
      <c r="CE331" s="1748"/>
      <c r="CF331" s="1748"/>
      <c r="CG331" s="1748"/>
      <c r="CH331" s="1748"/>
      <c r="CI331" s="1748"/>
      <c r="CJ331" s="1748"/>
      <c r="CK331" s="1748"/>
      <c r="CL331" s="1748"/>
      <c r="CM331" s="1748"/>
      <c r="CN331" s="1748"/>
      <c r="CO331" s="1748"/>
      <c r="CP331" s="1748"/>
      <c r="CQ331" s="1748"/>
      <c r="CR331" s="1748"/>
      <c r="CS331" s="1748"/>
      <c r="CT331" s="1748"/>
      <c r="CU331" s="1748"/>
      <c r="CV331" s="1748"/>
      <c r="CW331" s="1748"/>
      <c r="CX331" s="1748"/>
      <c r="CY331" s="1748"/>
      <c r="CZ331" s="1748"/>
      <c r="DA331" s="1748"/>
      <c r="DB331" s="1748"/>
      <c r="DC331" s="1748"/>
      <c r="DD331" s="1748"/>
      <c r="DE331" s="1748"/>
      <c r="DF331" s="1748"/>
      <c r="DG331" s="1748"/>
      <c r="DH331" s="1748"/>
      <c r="DI331" s="1748"/>
      <c r="DJ331" s="1748"/>
      <c r="DK331" s="1748"/>
      <c r="DL331" s="1748"/>
      <c r="DM331" s="1748"/>
      <c r="DN331" s="1748"/>
      <c r="DO331" s="1748"/>
      <c r="DP331" s="1748"/>
      <c r="DQ331" s="1748"/>
      <c r="DR331" s="1748"/>
      <c r="DS331" s="1748"/>
      <c r="DT331" s="1748"/>
      <c r="DU331" s="1748"/>
      <c r="DV331" s="1748"/>
      <c r="DW331" s="1748"/>
      <c r="DX331" s="1748"/>
      <c r="DY331" s="1748"/>
      <c r="DZ331" s="1748"/>
      <c r="EA331" s="1748"/>
      <c r="EB331" s="1748"/>
      <c r="EC331" s="1748"/>
      <c r="ED331" s="1748"/>
      <c r="EE331" s="1748"/>
      <c r="EF331" s="1748"/>
      <c r="EG331" s="1748"/>
      <c r="EH331" s="1748"/>
      <c r="EI331" s="1748"/>
      <c r="EJ331" s="1748"/>
      <c r="EK331" s="1748"/>
      <c r="EL331" s="1748"/>
      <c r="EM331" s="1748"/>
      <c r="EN331" s="1748"/>
      <c r="EO331" s="1748"/>
      <c r="EP331" s="1748"/>
      <c r="EQ331" s="1748"/>
      <c r="ER331" s="1748"/>
      <c r="ES331" s="1748"/>
      <c r="ET331" s="1748"/>
      <c r="EU331" s="1748"/>
      <c r="EV331" s="1748"/>
      <c r="EW331" s="1748"/>
      <c r="EX331" s="1748"/>
      <c r="EY331" s="1748"/>
      <c r="EZ331" s="1748"/>
      <c r="FA331" s="1748"/>
      <c r="FB331" s="1748"/>
      <c r="FC331" s="1748"/>
      <c r="FD331" s="1748"/>
      <c r="FE331" s="1748"/>
      <c r="FF331" s="1748"/>
      <c r="FG331" s="1748"/>
      <c r="FH331" s="1748"/>
      <c r="FI331" s="1748"/>
      <c r="FJ331" s="1748"/>
      <c r="FK331" s="1748"/>
      <c r="FL331" s="1748"/>
      <c r="FM331" s="1748"/>
      <c r="FN331" s="1748"/>
      <c r="FO331" s="1748"/>
      <c r="FP331" s="1748"/>
      <c r="FQ331" s="1748"/>
      <c r="FR331" s="1748"/>
      <c r="FS331" s="1748"/>
      <c r="FT331" s="1748"/>
      <c r="FU331" s="1748"/>
      <c r="FV331" s="1748"/>
      <c r="FW331" s="1748"/>
      <c r="FX331" s="1748"/>
      <c r="FY331" s="1748"/>
      <c r="FZ331" s="1748"/>
      <c r="GA331" s="1748"/>
      <c r="GB331" s="1748"/>
      <c r="GC331" s="1748"/>
      <c r="GD331" s="1748"/>
      <c r="GE331" s="1748"/>
      <c r="GF331" s="1748"/>
      <c r="GG331" s="1748"/>
      <c r="GH331" s="1748"/>
      <c r="GI331" s="1748"/>
      <c r="GJ331" s="1748"/>
      <c r="GK331" s="1748"/>
      <c r="GL331" s="1748"/>
      <c r="GM331" s="1748"/>
      <c r="GN331" s="1748"/>
      <c r="GO331" s="1748"/>
      <c r="GP331" s="1748"/>
      <c r="GQ331" s="1748"/>
      <c r="GR331" s="1748"/>
      <c r="GS331" s="1748"/>
      <c r="GT331" s="1748"/>
      <c r="GU331" s="1748"/>
      <c r="GV331" s="1748"/>
      <c r="GW331" s="1748"/>
      <c r="GX331" s="1748"/>
      <c r="GY331" s="1748"/>
      <c r="GZ331" s="1748"/>
      <c r="HA331" s="1748"/>
      <c r="HB331" s="1748"/>
      <c r="HC331" s="1748"/>
      <c r="HD331" s="1748"/>
      <c r="HE331" s="1748"/>
      <c r="HF331" s="1748"/>
      <c r="HG331" s="1748"/>
      <c r="HH331" s="1748"/>
      <c r="HI331" s="1748"/>
      <c r="HJ331" s="1748"/>
      <c r="HK331" s="1748"/>
      <c r="HL331" s="1748"/>
      <c r="HM331" s="1748"/>
      <c r="HN331" s="1748"/>
      <c r="HO331" s="1748"/>
      <c r="HP331" s="1748"/>
      <c r="HQ331" s="1748"/>
      <c r="HR331" s="1748"/>
      <c r="HS331" s="1748"/>
      <c r="HT331" s="1748"/>
      <c r="HU331" s="1748"/>
      <c r="HV331" s="1748"/>
      <c r="HW331" s="1748"/>
      <c r="HX331" s="1748"/>
      <c r="HY331" s="1748"/>
      <c r="HZ331" s="1748"/>
      <c r="IA331" s="1748"/>
      <c r="IB331" s="1748"/>
      <c r="IC331" s="1748"/>
      <c r="ID331" s="1748"/>
      <c r="IE331" s="1748"/>
      <c r="IF331" s="1748"/>
      <c r="IG331" s="1748"/>
      <c r="IH331" s="1748"/>
      <c r="II331" s="1748"/>
      <c r="IJ331" s="1748"/>
      <c r="IK331" s="1748"/>
      <c r="IL331" s="1748"/>
      <c r="IM331" s="1748"/>
      <c r="IN331" s="1748"/>
      <c r="IO331" s="1748"/>
      <c r="IP331" s="1748"/>
      <c r="IQ331" s="1748"/>
      <c r="IR331" s="1748"/>
      <c r="IS331" s="1748"/>
      <c r="IT331" s="1748"/>
      <c r="IU331" s="1748"/>
      <c r="IV331" s="1748"/>
    </row>
    <row r="332" spans="1:256 1523:1523" s="132" customFormat="1" ht="22.5" customHeight="1">
      <c r="A332" s="141" t="s">
        <v>738</v>
      </c>
      <c r="B332" s="3354" t="s">
        <v>2635</v>
      </c>
      <c r="C332" s="3354"/>
      <c r="D332" s="3354"/>
      <c r="E332" s="3354"/>
      <c r="F332" s="3354"/>
      <c r="G332" s="3354"/>
      <c r="H332" s="3354"/>
      <c r="I332" s="3354"/>
      <c r="J332" s="3354"/>
      <c r="K332" s="3354"/>
      <c r="L332" s="3354"/>
      <c r="M332" s="3354"/>
      <c r="N332" s="3354"/>
      <c r="O332" s="443" t="s">
        <v>738</v>
      </c>
      <c r="P332" s="1748"/>
      <c r="Q332" s="896"/>
      <c r="AE332" s="466"/>
      <c r="AF332" s="466"/>
    </row>
    <row r="333" spans="1:256 1523:1523" s="132" customFormat="1" ht="11.25" customHeight="1">
      <c r="A333" s="143"/>
      <c r="B333" s="879" t="s">
        <v>1716</v>
      </c>
      <c r="C333" s="3334"/>
      <c r="D333" s="3335"/>
      <c r="E333" s="3335"/>
      <c r="F333" s="3335"/>
      <c r="G333" s="3335"/>
      <c r="H333" s="3335"/>
      <c r="I333" s="3335"/>
      <c r="J333" s="3335"/>
      <c r="K333" s="3335"/>
      <c r="L333" s="3335"/>
      <c r="M333" s="3335"/>
      <c r="N333" s="3336"/>
      <c r="O333" s="216" t="s">
        <v>1716</v>
      </c>
      <c r="P333" s="2456"/>
      <c r="Q333" s="1148"/>
      <c r="AE333" s="466"/>
      <c r="AF333" s="466"/>
    </row>
    <row r="334" spans="1:256 1523:1523" s="132" customFormat="1" ht="11.25" customHeight="1">
      <c r="A334" s="143"/>
      <c r="B334" s="879" t="s">
        <v>1717</v>
      </c>
      <c r="C334" s="3355"/>
      <c r="D334" s="3356"/>
      <c r="E334" s="3356"/>
      <c r="F334" s="3356"/>
      <c r="G334" s="3356"/>
      <c r="H334" s="3356"/>
      <c r="I334" s="3356"/>
      <c r="J334" s="3356"/>
      <c r="K334" s="3356"/>
      <c r="L334" s="3356"/>
      <c r="M334" s="3356"/>
      <c r="N334" s="3357"/>
      <c r="O334" s="216" t="s">
        <v>1717</v>
      </c>
      <c r="P334" s="2457"/>
      <c r="Q334" s="1763"/>
      <c r="AE334" s="466"/>
      <c r="AF334" s="466"/>
    </row>
    <row r="335" spans="1:256 1523:1523" ht="3" customHeight="1">
      <c r="A335" s="1748"/>
      <c r="B335" s="1748"/>
      <c r="C335" s="1748"/>
      <c r="D335" s="1748"/>
      <c r="E335" s="1748"/>
      <c r="F335" s="1748"/>
      <c r="G335" s="1748"/>
      <c r="H335" s="1748"/>
      <c r="I335" s="1748"/>
      <c r="J335" s="1748"/>
      <c r="K335" s="1748"/>
      <c r="L335" s="1748"/>
      <c r="M335" s="1748"/>
      <c r="N335" s="1748"/>
      <c r="O335" s="1748"/>
      <c r="P335" s="1748"/>
      <c r="Q335" s="1748"/>
      <c r="R335" s="1748"/>
      <c r="S335" s="1748"/>
      <c r="T335" s="1748"/>
      <c r="U335" s="1748"/>
      <c r="V335" s="1748"/>
      <c r="W335" s="1748"/>
      <c r="X335" s="1748"/>
      <c r="Y335" s="1748"/>
      <c r="Z335" s="1748"/>
      <c r="AA335" s="1748"/>
      <c r="AB335" s="1748"/>
      <c r="AC335" s="1748"/>
      <c r="AD335" s="1748"/>
      <c r="AE335" s="896"/>
      <c r="AF335" s="896"/>
      <c r="AG335" s="1748"/>
      <c r="AH335" s="1748"/>
      <c r="AI335" s="1748"/>
      <c r="AJ335" s="1748"/>
      <c r="AK335" s="1748"/>
      <c r="AL335" s="1748"/>
      <c r="AM335" s="1748"/>
      <c r="AN335" s="1748"/>
      <c r="AO335" s="1748"/>
      <c r="AP335" s="1748"/>
      <c r="AQ335" s="1748"/>
      <c r="AR335" s="1748"/>
      <c r="AS335" s="1748"/>
      <c r="AT335" s="1748"/>
      <c r="AU335" s="1748"/>
      <c r="AV335" s="1748"/>
      <c r="AW335" s="1748"/>
      <c r="AX335" s="1748"/>
      <c r="AY335" s="1748"/>
      <c r="AZ335" s="1748"/>
      <c r="BA335" s="1748"/>
      <c r="BB335" s="1748"/>
      <c r="BC335" s="1748"/>
      <c r="BD335" s="1748"/>
      <c r="BE335" s="1748"/>
      <c r="BF335" s="1748"/>
      <c r="BG335" s="1748"/>
      <c r="BH335" s="1748"/>
      <c r="BI335" s="1748"/>
      <c r="BJ335" s="1748"/>
      <c r="BK335" s="1748"/>
      <c r="BL335" s="1748"/>
      <c r="BM335" s="1748"/>
      <c r="BN335" s="1748"/>
      <c r="BO335" s="1748"/>
      <c r="BP335" s="1748"/>
      <c r="BQ335" s="1748"/>
      <c r="BR335" s="1748"/>
      <c r="BS335" s="1748"/>
      <c r="BT335" s="1748"/>
      <c r="BU335" s="1748"/>
      <c r="BV335" s="1748"/>
      <c r="BW335" s="1748"/>
      <c r="BX335" s="1748"/>
      <c r="BY335" s="1748"/>
      <c r="BZ335" s="1748"/>
      <c r="CA335" s="1748"/>
      <c r="CB335" s="1748"/>
      <c r="CC335" s="1748"/>
      <c r="CD335" s="1748"/>
      <c r="CE335" s="1748"/>
      <c r="CF335" s="1748"/>
      <c r="CG335" s="1748"/>
      <c r="CH335" s="1748"/>
      <c r="CI335" s="1748"/>
      <c r="CJ335" s="1748"/>
      <c r="CK335" s="1748"/>
      <c r="CL335" s="1748"/>
      <c r="CM335" s="1748"/>
      <c r="CN335" s="1748"/>
      <c r="CO335" s="1748"/>
      <c r="CP335" s="1748"/>
      <c r="CQ335" s="1748"/>
      <c r="CR335" s="1748"/>
      <c r="CS335" s="1748"/>
      <c r="CT335" s="1748"/>
      <c r="CU335" s="1748"/>
      <c r="CV335" s="1748"/>
      <c r="CW335" s="1748"/>
      <c r="CX335" s="1748"/>
      <c r="CY335" s="1748"/>
      <c r="CZ335" s="1748"/>
      <c r="DA335" s="1748"/>
      <c r="DB335" s="1748"/>
      <c r="DC335" s="1748"/>
      <c r="DD335" s="1748"/>
      <c r="DE335" s="1748"/>
      <c r="DF335" s="1748"/>
      <c r="DG335" s="1748"/>
      <c r="DH335" s="1748"/>
      <c r="DI335" s="1748"/>
      <c r="DJ335" s="1748"/>
      <c r="DK335" s="1748"/>
      <c r="DL335" s="1748"/>
      <c r="DM335" s="1748"/>
      <c r="DN335" s="1748"/>
      <c r="DO335" s="1748"/>
      <c r="DP335" s="1748"/>
      <c r="DQ335" s="1748"/>
      <c r="DR335" s="1748"/>
      <c r="DS335" s="1748"/>
      <c r="DT335" s="1748"/>
      <c r="DU335" s="1748"/>
      <c r="DV335" s="1748"/>
      <c r="DW335" s="1748"/>
      <c r="DX335" s="1748"/>
      <c r="DY335" s="1748"/>
      <c r="DZ335" s="1748"/>
      <c r="EA335" s="1748"/>
      <c r="EB335" s="1748"/>
      <c r="EC335" s="1748"/>
      <c r="ED335" s="1748"/>
      <c r="EE335" s="1748"/>
      <c r="EF335" s="1748"/>
      <c r="EG335" s="1748"/>
      <c r="EH335" s="1748"/>
      <c r="EI335" s="1748"/>
      <c r="EJ335" s="1748"/>
      <c r="EK335" s="1748"/>
      <c r="EL335" s="1748"/>
      <c r="EM335" s="1748"/>
      <c r="EN335" s="1748"/>
      <c r="EO335" s="1748"/>
      <c r="EP335" s="1748"/>
      <c r="EQ335" s="1748"/>
      <c r="ER335" s="1748"/>
      <c r="ES335" s="1748"/>
      <c r="ET335" s="1748"/>
      <c r="EU335" s="1748"/>
      <c r="EV335" s="1748"/>
      <c r="EW335" s="1748"/>
      <c r="EX335" s="1748"/>
      <c r="EY335" s="1748"/>
      <c r="EZ335" s="1748"/>
      <c r="FA335" s="1748"/>
      <c r="FB335" s="1748"/>
      <c r="FC335" s="1748"/>
      <c r="FD335" s="1748"/>
      <c r="FE335" s="1748"/>
      <c r="FF335" s="1748"/>
      <c r="FG335" s="1748"/>
      <c r="FH335" s="1748"/>
      <c r="FI335" s="1748"/>
      <c r="FJ335" s="1748"/>
      <c r="FK335" s="1748"/>
      <c r="FL335" s="1748"/>
      <c r="FM335" s="1748"/>
      <c r="FN335" s="1748"/>
      <c r="FO335" s="1748"/>
      <c r="FP335" s="1748"/>
      <c r="FQ335" s="1748"/>
      <c r="FR335" s="1748"/>
      <c r="FS335" s="1748"/>
      <c r="FT335" s="1748"/>
      <c r="FU335" s="1748"/>
      <c r="FV335" s="1748"/>
      <c r="FW335" s="1748"/>
      <c r="FX335" s="1748"/>
      <c r="FY335" s="1748"/>
      <c r="FZ335" s="1748"/>
      <c r="GA335" s="1748"/>
      <c r="GB335" s="1748"/>
      <c r="GC335" s="1748"/>
      <c r="GD335" s="1748"/>
      <c r="GE335" s="1748"/>
      <c r="GF335" s="1748"/>
      <c r="GG335" s="1748"/>
      <c r="GH335" s="1748"/>
      <c r="GI335" s="1748"/>
      <c r="GJ335" s="1748"/>
      <c r="GK335" s="1748"/>
      <c r="GL335" s="1748"/>
      <c r="GM335" s="1748"/>
      <c r="GN335" s="1748"/>
      <c r="GO335" s="1748"/>
      <c r="GP335" s="1748"/>
      <c r="GQ335" s="1748"/>
      <c r="GR335" s="1748"/>
      <c r="GS335" s="1748"/>
      <c r="GT335" s="1748"/>
      <c r="GU335" s="1748"/>
      <c r="GV335" s="1748"/>
      <c r="GW335" s="1748"/>
      <c r="GX335" s="1748"/>
      <c r="GY335" s="1748"/>
      <c r="GZ335" s="1748"/>
      <c r="HA335" s="1748"/>
      <c r="HB335" s="1748"/>
      <c r="HC335" s="1748"/>
      <c r="HD335" s="1748"/>
      <c r="HE335" s="1748"/>
      <c r="HF335" s="1748"/>
      <c r="HG335" s="1748"/>
      <c r="HH335" s="1748"/>
      <c r="HI335" s="1748"/>
      <c r="HJ335" s="1748"/>
      <c r="HK335" s="1748"/>
      <c r="HL335" s="1748"/>
      <c r="HM335" s="1748"/>
      <c r="HN335" s="1748"/>
      <c r="HO335" s="1748"/>
      <c r="HP335" s="1748"/>
      <c r="HQ335" s="1748"/>
      <c r="HR335" s="1748"/>
      <c r="HS335" s="1748"/>
      <c r="HT335" s="1748"/>
      <c r="HU335" s="1748"/>
      <c r="HV335" s="1748"/>
      <c r="HW335" s="1748"/>
      <c r="HX335" s="1748"/>
      <c r="HY335" s="1748"/>
      <c r="HZ335" s="1748"/>
      <c r="IA335" s="1748"/>
      <c r="IB335" s="1748"/>
      <c r="IC335" s="1748"/>
      <c r="ID335" s="1748"/>
      <c r="IE335" s="1748"/>
      <c r="IF335" s="1748"/>
      <c r="IG335" s="1748"/>
      <c r="IH335" s="1748"/>
      <c r="II335" s="1748"/>
      <c r="IJ335" s="1748"/>
      <c r="IK335" s="1748"/>
      <c r="IL335" s="1748"/>
      <c r="IM335" s="1748"/>
      <c r="IN335" s="1748"/>
      <c r="IO335" s="1748"/>
      <c r="IP335" s="1748"/>
      <c r="IQ335" s="1748"/>
      <c r="IR335" s="1748"/>
      <c r="IS335" s="1748"/>
      <c r="IT335" s="1748"/>
      <c r="IU335" s="1748"/>
      <c r="IV335" s="1748"/>
    </row>
    <row r="336" spans="1:256 1523:1523" ht="11.25" customHeight="1">
      <c r="B336" s="140" t="s">
        <v>3644</v>
      </c>
      <c r="D336" s="140"/>
      <c r="E336" s="140"/>
      <c r="F336" s="140"/>
      <c r="G336" s="140"/>
      <c r="H336" s="39"/>
      <c r="I336" s="1760"/>
      <c r="J336" s="1760"/>
      <c r="K336" s="1760"/>
      <c r="L336" s="1748"/>
      <c r="M336" s="1748"/>
      <c r="N336" s="1748"/>
      <c r="O336" s="1748"/>
      <c r="P336" s="1748"/>
      <c r="Q336" s="896"/>
    </row>
    <row r="337" spans="1:31" ht="11.4" customHeight="1">
      <c r="A337" s="3302" t="s">
        <v>4956</v>
      </c>
      <c r="B337" s="3303"/>
      <c r="C337" s="3303"/>
      <c r="D337" s="3303"/>
      <c r="E337" s="3303"/>
      <c r="F337" s="3303"/>
      <c r="G337" s="3303"/>
      <c r="H337" s="3303"/>
      <c r="I337" s="3303"/>
      <c r="J337" s="3303"/>
      <c r="K337" s="3303"/>
      <c r="L337" s="3303"/>
      <c r="M337" s="3303"/>
      <c r="N337" s="3303"/>
      <c r="O337" s="3303"/>
      <c r="P337" s="3303"/>
      <c r="Q337" s="3304"/>
      <c r="R337" s="464" t="s">
        <v>1239</v>
      </c>
      <c r="S337" s="121"/>
      <c r="U337" s="135"/>
      <c r="V337" s="135"/>
      <c r="W337" s="135"/>
      <c r="X337" s="135"/>
      <c r="Y337" s="135"/>
      <c r="Z337" s="135"/>
      <c r="AA337" s="135"/>
      <c r="AB337" s="135"/>
      <c r="AC337" s="135"/>
      <c r="AD337" s="135"/>
      <c r="AE337" s="465"/>
    </row>
    <row r="338" spans="1:31" ht="11.25" customHeight="1">
      <c r="B338" s="136" t="s">
        <v>1841</v>
      </c>
      <c r="C338" s="137"/>
      <c r="D338" s="1751"/>
      <c r="E338" s="1751"/>
      <c r="F338" s="1751"/>
      <c r="G338" s="1751"/>
      <c r="H338" s="1751"/>
      <c r="I338" s="1751"/>
      <c r="J338" s="1751"/>
      <c r="K338" s="1751"/>
      <c r="L338" s="1751"/>
      <c r="M338" s="1751"/>
      <c r="N338" s="1751"/>
      <c r="O338" s="1751"/>
      <c r="P338" s="1751"/>
      <c r="Q338" s="1751"/>
    </row>
    <row r="339" spans="1:31" ht="11.4" customHeight="1">
      <c r="A339" s="3258"/>
      <c r="B339" s="3259"/>
      <c r="C339" s="3259"/>
      <c r="D339" s="3259"/>
      <c r="E339" s="3259"/>
      <c r="F339" s="3259"/>
      <c r="G339" s="3259"/>
      <c r="H339" s="3259"/>
      <c r="I339" s="3259"/>
      <c r="J339" s="3259"/>
      <c r="K339" s="3259"/>
      <c r="L339" s="3259"/>
      <c r="M339" s="3259"/>
      <c r="N339" s="3259"/>
      <c r="O339" s="3259"/>
      <c r="P339" s="3259"/>
      <c r="Q339" s="3260"/>
    </row>
    <row r="340" spans="1:31" ht="14.1" customHeight="1">
      <c r="A340" s="1745" t="s">
        <v>3919</v>
      </c>
      <c r="B340" s="1745" t="s">
        <v>3947</v>
      </c>
      <c r="C340" s="1745"/>
      <c r="D340" s="1751"/>
      <c r="E340" s="1751"/>
      <c r="F340" s="1751"/>
      <c r="G340" s="1751"/>
      <c r="H340" s="1751"/>
      <c r="O340" s="131" t="s">
        <v>1842</v>
      </c>
      <c r="P340" s="3261"/>
      <c r="Q340" s="3262"/>
    </row>
    <row r="341" spans="1:31" ht="11.4" customHeight="1">
      <c r="A341" s="46" t="s">
        <v>1957</v>
      </c>
      <c r="B341" s="54" t="s">
        <v>4663</v>
      </c>
      <c r="O341" s="160" t="s">
        <v>1957</v>
      </c>
      <c r="P341" s="2444" t="s">
        <v>2933</v>
      </c>
      <c r="Q341" s="534"/>
    </row>
    <row r="342" spans="1:31" ht="11.4" customHeight="1">
      <c r="A342" s="141" t="s">
        <v>1959</v>
      </c>
      <c r="B342" s="54" t="s">
        <v>3906</v>
      </c>
      <c r="O342" s="160" t="s">
        <v>1959</v>
      </c>
      <c r="P342" s="2445" t="s">
        <v>2933</v>
      </c>
      <c r="Q342" s="535"/>
    </row>
    <row r="343" spans="1:31" ht="11.4" customHeight="1">
      <c r="A343" s="141" t="s">
        <v>738</v>
      </c>
      <c r="B343" s="144" t="s">
        <v>2321</v>
      </c>
      <c r="O343" s="160" t="s">
        <v>738</v>
      </c>
      <c r="P343" s="2445" t="s">
        <v>2936</v>
      </c>
      <c r="Q343" s="535"/>
    </row>
    <row r="344" spans="1:31" ht="11.4" customHeight="1">
      <c r="A344" s="46" t="s">
        <v>2088</v>
      </c>
      <c r="B344" s="54" t="s">
        <v>3715</v>
      </c>
      <c r="O344" s="463" t="s">
        <v>2088</v>
      </c>
      <c r="P344" s="2446" t="s">
        <v>2936</v>
      </c>
      <c r="Q344" s="536"/>
    </row>
    <row r="345" spans="1:31" ht="11.4" customHeight="1">
      <c r="A345" s="141" t="s">
        <v>1714</v>
      </c>
      <c r="B345" s="54" t="s">
        <v>2827</v>
      </c>
      <c r="N345" s="160" t="s">
        <v>1714</v>
      </c>
      <c r="O345" s="3351" t="s">
        <v>3710</v>
      </c>
      <c r="P345" s="3352"/>
      <c r="Q345" s="3353"/>
    </row>
    <row r="346" spans="1:31" ht="11.4" customHeight="1">
      <c r="A346" s="141" t="s">
        <v>1715</v>
      </c>
      <c r="B346" s="410" t="s">
        <v>2322</v>
      </c>
      <c r="N346" s="160" t="s">
        <v>1715</v>
      </c>
      <c r="O346" s="3309" t="s">
        <v>2828</v>
      </c>
      <c r="P346" s="3310"/>
      <c r="Q346" s="3311"/>
    </row>
    <row r="347" spans="1:31" ht="11.25" customHeight="1">
      <c r="B347" s="140" t="s">
        <v>3644</v>
      </c>
      <c r="D347" s="140"/>
      <c r="E347" s="140"/>
      <c r="F347" s="140"/>
      <c r="G347" s="140"/>
      <c r="H347" s="39"/>
      <c r="I347" s="1760"/>
      <c r="J347" s="1760"/>
      <c r="K347" s="1760"/>
      <c r="L347" s="1748"/>
      <c r="M347" s="1748"/>
      <c r="N347" s="1748"/>
      <c r="O347" s="1748"/>
      <c r="P347" s="1748"/>
      <c r="Q347" s="896"/>
    </row>
    <row r="348" spans="1:31" ht="38.1" customHeight="1">
      <c r="A348" s="3302" t="s">
        <v>4957</v>
      </c>
      <c r="B348" s="3303"/>
      <c r="C348" s="3303"/>
      <c r="D348" s="3303"/>
      <c r="E348" s="3303"/>
      <c r="F348" s="3303"/>
      <c r="G348" s="3303"/>
      <c r="H348" s="3303"/>
      <c r="I348" s="3303"/>
      <c r="J348" s="3303"/>
      <c r="K348" s="3303"/>
      <c r="L348" s="3303"/>
      <c r="M348" s="3303"/>
      <c r="N348" s="3303"/>
      <c r="O348" s="3303"/>
      <c r="P348" s="3303"/>
      <c r="Q348" s="3304"/>
      <c r="R348" s="445" t="s">
        <v>1239</v>
      </c>
      <c r="S348" s="446"/>
      <c r="U348" s="135"/>
      <c r="V348" s="135"/>
      <c r="W348" s="135"/>
      <c r="X348" s="135"/>
      <c r="Y348" s="135"/>
      <c r="Z348" s="135"/>
      <c r="AA348" s="135"/>
      <c r="AB348" s="135"/>
      <c r="AC348" s="135"/>
      <c r="AD348" s="135"/>
      <c r="AE348" s="465"/>
    </row>
    <row r="349" spans="1:31" ht="11.25" customHeight="1">
      <c r="B349" s="136" t="s">
        <v>1841</v>
      </c>
      <c r="C349" s="137"/>
      <c r="D349" s="1751"/>
      <c r="E349" s="1751"/>
      <c r="F349" s="1751"/>
      <c r="G349" s="1751"/>
      <c r="H349" s="1751"/>
      <c r="I349" s="1751"/>
      <c r="J349" s="1751"/>
      <c r="K349" s="1751"/>
      <c r="L349" s="1751"/>
      <c r="M349" s="1751"/>
      <c r="N349" s="1751"/>
      <c r="O349" s="1751"/>
      <c r="P349" s="1751"/>
      <c r="Q349" s="1751"/>
    </row>
    <row r="350" spans="1:31" ht="13.35" customHeight="1">
      <c r="A350" s="3258"/>
      <c r="B350" s="3259"/>
      <c r="C350" s="3259"/>
      <c r="D350" s="3259"/>
      <c r="E350" s="3259"/>
      <c r="F350" s="3259"/>
      <c r="G350" s="3259"/>
      <c r="H350" s="3259"/>
      <c r="I350" s="3259"/>
      <c r="J350" s="3259"/>
      <c r="K350" s="3259"/>
      <c r="L350" s="3259"/>
      <c r="M350" s="3259"/>
      <c r="N350" s="3259"/>
      <c r="O350" s="3259"/>
      <c r="P350" s="3259"/>
      <c r="Q350" s="3260"/>
    </row>
    <row r="351" spans="1:31" ht="14.1" customHeight="1">
      <c r="A351" s="1745" t="s">
        <v>3920</v>
      </c>
      <c r="B351" s="3" t="s">
        <v>2630</v>
      </c>
      <c r="C351" s="3"/>
      <c r="D351" s="86"/>
      <c r="E351" s="1751"/>
      <c r="F351" s="1751"/>
      <c r="G351" s="1751"/>
      <c r="H351" s="1751"/>
      <c r="I351" s="1751"/>
      <c r="J351" s="1751"/>
      <c r="K351" s="1751"/>
      <c r="L351" s="1751"/>
      <c r="M351" s="1751"/>
      <c r="O351" s="131" t="s">
        <v>1842</v>
      </c>
      <c r="P351" s="3261"/>
      <c r="Q351" s="3262"/>
    </row>
    <row r="352" spans="1:31" ht="12.75" customHeight="1">
      <c r="A352" s="141" t="s">
        <v>1957</v>
      </c>
      <c r="B352" s="139" t="s">
        <v>3557</v>
      </c>
      <c r="D352" s="139"/>
      <c r="E352" s="139"/>
      <c r="F352" s="139"/>
      <c r="G352" s="139"/>
      <c r="H352" s="139"/>
      <c r="I352" s="139"/>
      <c r="J352" s="139"/>
      <c r="K352" s="139"/>
      <c r="L352" s="139"/>
      <c r="M352" s="139"/>
      <c r="N352" s="139"/>
      <c r="O352" s="160" t="s">
        <v>1957</v>
      </c>
      <c r="P352" s="2444" t="s">
        <v>2933</v>
      </c>
      <c r="Q352" s="534"/>
    </row>
    <row r="353" spans="1:32" ht="12.75" customHeight="1">
      <c r="A353" s="141" t="s">
        <v>1959</v>
      </c>
      <c r="B353" s="139" t="s">
        <v>3722</v>
      </c>
      <c r="D353" s="139"/>
      <c r="E353" s="139"/>
      <c r="F353" s="139"/>
      <c r="G353" s="139"/>
      <c r="H353" s="139"/>
      <c r="I353" s="139"/>
      <c r="J353" s="139"/>
      <c r="K353" s="139"/>
      <c r="L353" s="139"/>
      <c r="M353" s="139"/>
      <c r="N353" s="139"/>
      <c r="O353" s="160" t="s">
        <v>1959</v>
      </c>
      <c r="P353" s="2445" t="s">
        <v>2936</v>
      </c>
      <c r="Q353" s="535"/>
    </row>
    <row r="354" spans="1:32" ht="22.5" customHeight="1">
      <c r="A354" s="141" t="s">
        <v>738</v>
      </c>
      <c r="B354" s="3257" t="s">
        <v>3907</v>
      </c>
      <c r="C354" s="3257"/>
      <c r="D354" s="3257"/>
      <c r="E354" s="3257"/>
      <c r="F354" s="3257"/>
      <c r="G354" s="3257"/>
      <c r="H354" s="3257"/>
      <c r="I354" s="3257"/>
      <c r="J354" s="3257"/>
      <c r="K354" s="3257"/>
      <c r="L354" s="3257"/>
      <c r="M354" s="3257"/>
      <c r="N354" s="3257"/>
      <c r="O354" s="160" t="s">
        <v>738</v>
      </c>
      <c r="P354" s="2446" t="s">
        <v>2933</v>
      </c>
      <c r="Q354" s="536"/>
    </row>
    <row r="355" spans="1:32" ht="11.25" customHeight="1">
      <c r="B355" s="140" t="s">
        <v>3644</v>
      </c>
      <c r="D355" s="140"/>
      <c r="E355" s="140"/>
      <c r="F355" s="140"/>
      <c r="G355" s="140"/>
      <c r="H355" s="39"/>
      <c r="I355" s="1760"/>
      <c r="J355" s="1760"/>
      <c r="K355" s="1760"/>
      <c r="L355" s="1748"/>
      <c r="M355" s="1748"/>
      <c r="N355" s="1748"/>
      <c r="O355" s="1748"/>
      <c r="P355" s="1748"/>
      <c r="Q355" s="896"/>
    </row>
    <row r="356" spans="1:32" ht="11.4" customHeight="1">
      <c r="A356" s="3302" t="s">
        <v>4958</v>
      </c>
      <c r="B356" s="3303"/>
      <c r="C356" s="3303"/>
      <c r="D356" s="3303"/>
      <c r="E356" s="3303"/>
      <c r="F356" s="3303"/>
      <c r="G356" s="3303"/>
      <c r="H356" s="3303"/>
      <c r="I356" s="3303"/>
      <c r="J356" s="3303"/>
      <c r="K356" s="3303"/>
      <c r="L356" s="3303"/>
      <c r="M356" s="3303"/>
      <c r="N356" s="3303"/>
      <c r="O356" s="3303"/>
      <c r="P356" s="3303"/>
      <c r="Q356" s="3304"/>
      <c r="U356" s="135"/>
      <c r="V356" s="135"/>
      <c r="W356" s="135"/>
      <c r="X356" s="135"/>
      <c r="Y356" s="135"/>
      <c r="Z356" s="135"/>
      <c r="AA356" s="135"/>
      <c r="AB356" s="135"/>
      <c r="AC356" s="135"/>
      <c r="AD356" s="135"/>
      <c r="AE356" s="465"/>
    </row>
    <row r="357" spans="1:32" ht="11.25" customHeight="1">
      <c r="B357" s="136" t="s">
        <v>1841</v>
      </c>
      <c r="C357" s="137"/>
      <c r="D357" s="1751"/>
      <c r="E357" s="1751"/>
      <c r="F357" s="1751"/>
      <c r="G357" s="1751"/>
      <c r="H357" s="1751"/>
      <c r="I357" s="1751"/>
      <c r="J357" s="1751"/>
      <c r="K357" s="1751"/>
      <c r="L357" s="1751"/>
      <c r="M357" s="1751"/>
      <c r="N357" s="1751"/>
      <c r="O357" s="1751"/>
      <c r="P357" s="1751"/>
      <c r="Q357" s="1751"/>
    </row>
    <row r="358" spans="1:32" ht="11.4" customHeight="1">
      <c r="A358" s="3258"/>
      <c r="B358" s="3259"/>
      <c r="C358" s="3259"/>
      <c r="D358" s="3259"/>
      <c r="E358" s="3259"/>
      <c r="F358" s="3259"/>
      <c r="G358" s="3259"/>
      <c r="H358" s="3259"/>
      <c r="I358" s="3259"/>
      <c r="J358" s="3259"/>
      <c r="K358" s="3259"/>
      <c r="L358" s="3259"/>
      <c r="M358" s="3259"/>
      <c r="N358" s="3259"/>
      <c r="O358" s="3259"/>
      <c r="P358" s="3259"/>
      <c r="Q358" s="3260"/>
    </row>
    <row r="359" spans="1:32" ht="2.25" customHeight="1">
      <c r="A359" s="1748"/>
      <c r="B359" s="1760"/>
      <c r="C359" s="1751"/>
      <c r="D359" s="1751"/>
      <c r="E359" s="1751"/>
      <c r="F359" s="1751"/>
      <c r="G359" s="1751"/>
      <c r="H359" s="1751"/>
      <c r="I359" s="1751"/>
      <c r="J359" s="1751"/>
      <c r="K359" s="1751"/>
      <c r="L359" s="1751"/>
      <c r="M359" s="1751"/>
      <c r="N359" s="1751"/>
      <c r="O359" s="1751"/>
      <c r="P359" s="1751"/>
      <c r="Q359" s="896"/>
      <c r="R359" s="7"/>
      <c r="S359" s="7"/>
    </row>
    <row r="360" spans="1:32" ht="14.1" customHeight="1">
      <c r="A360" s="1745" t="s">
        <v>3923</v>
      </c>
      <c r="B360" s="3" t="s">
        <v>3897</v>
      </c>
      <c r="C360" s="3"/>
      <c r="D360" s="3"/>
      <c r="E360" s="3"/>
      <c r="F360" s="3"/>
      <c r="G360" s="3"/>
      <c r="H360" s="1751"/>
      <c r="I360" s="1751"/>
      <c r="J360" s="1751"/>
      <c r="K360" s="1751"/>
      <c r="L360" s="1751"/>
      <c r="M360" s="1751"/>
      <c r="O360" s="131" t="s">
        <v>1842</v>
      </c>
      <c r="P360" s="3489"/>
      <c r="Q360" s="3262"/>
    </row>
    <row r="361" spans="1:32" ht="10.5" customHeight="1">
      <c r="A361" s="46" t="s">
        <v>1957</v>
      </c>
      <c r="B361" s="134" t="s">
        <v>3898</v>
      </c>
      <c r="D361" s="149"/>
      <c r="E361" s="149"/>
      <c r="F361" s="149"/>
      <c r="G361" s="149"/>
      <c r="H361" s="463" t="s">
        <v>1957</v>
      </c>
      <c r="I361" s="3288"/>
      <c r="J361" s="3289"/>
      <c r="K361" s="3289"/>
      <c r="L361" s="3289"/>
      <c r="M361" s="3289"/>
      <c r="N361" s="3289"/>
      <c r="O361" s="3289"/>
      <c r="P361" s="3290"/>
      <c r="Q361" s="532"/>
    </row>
    <row r="362" spans="1:32" ht="10.5" customHeight="1">
      <c r="A362" s="141" t="s">
        <v>1959</v>
      </c>
      <c r="B362" s="134" t="s">
        <v>3899</v>
      </c>
      <c r="D362" s="149"/>
      <c r="E362" s="149"/>
      <c r="F362" s="149"/>
      <c r="G362" s="149"/>
      <c r="H362" s="160" t="s">
        <v>1959</v>
      </c>
      <c r="I362" s="3288"/>
      <c r="J362" s="3289"/>
      <c r="K362" s="3289"/>
      <c r="L362" s="3289"/>
      <c r="M362" s="3289"/>
      <c r="N362" s="3289"/>
      <c r="O362" s="3289"/>
      <c r="P362" s="3290"/>
      <c r="Q362" s="532"/>
    </row>
    <row r="363" spans="1:32" ht="21.75" customHeight="1">
      <c r="A363" s="141" t="s">
        <v>738</v>
      </c>
      <c r="B363" s="3337" t="s">
        <v>3889</v>
      </c>
      <c r="C363" s="3337"/>
      <c r="D363" s="3337"/>
      <c r="E363" s="3337"/>
      <c r="F363" s="3337"/>
      <c r="G363" s="3337"/>
      <c r="H363" s="3337"/>
      <c r="I363" s="3337"/>
      <c r="J363" s="3337"/>
      <c r="K363" s="3337"/>
      <c r="L363" s="3337"/>
      <c r="M363" s="3337"/>
      <c r="N363" s="3337"/>
      <c r="O363" s="160" t="s">
        <v>738</v>
      </c>
      <c r="P363" s="2466"/>
      <c r="Q363" s="1148"/>
    </row>
    <row r="364" spans="1:32" ht="21.75" customHeight="1">
      <c r="A364" s="141" t="s">
        <v>2088</v>
      </c>
      <c r="B364" s="3257" t="s">
        <v>3890</v>
      </c>
      <c r="C364" s="3257"/>
      <c r="D364" s="3257"/>
      <c r="E364" s="3257"/>
      <c r="F364" s="3257"/>
      <c r="G364" s="3257"/>
      <c r="H364" s="3257"/>
      <c r="I364" s="3257"/>
      <c r="J364" s="3257"/>
      <c r="K364" s="3257"/>
      <c r="L364" s="3257"/>
      <c r="M364" s="3257"/>
      <c r="N364" s="3257"/>
      <c r="O364" s="463" t="s">
        <v>2088</v>
      </c>
      <c r="P364" s="2454"/>
      <c r="Q364" s="1754"/>
    </row>
    <row r="365" spans="1:32" ht="10.5" customHeight="1">
      <c r="A365" s="141" t="s">
        <v>1714</v>
      </c>
      <c r="B365" s="51" t="s">
        <v>3891</v>
      </c>
      <c r="D365" s="51"/>
      <c r="E365" s="51"/>
      <c r="F365" s="51"/>
      <c r="G365" s="51"/>
      <c r="H365" s="51"/>
      <c r="I365" s="51"/>
      <c r="J365" s="51"/>
      <c r="K365" s="51"/>
      <c r="L365" s="51"/>
      <c r="M365" s="51"/>
      <c r="O365" s="160" t="s">
        <v>1714</v>
      </c>
      <c r="P365" s="2445"/>
      <c r="Q365" s="535"/>
    </row>
    <row r="366" spans="1:32" s="132" customFormat="1" ht="21.75" customHeight="1">
      <c r="A366" s="141" t="s">
        <v>1715</v>
      </c>
      <c r="B366" s="3257" t="s">
        <v>3892</v>
      </c>
      <c r="C366" s="3257"/>
      <c r="D366" s="3257"/>
      <c r="E366" s="3257"/>
      <c r="F366" s="3257"/>
      <c r="G366" s="3257"/>
      <c r="H366" s="3257"/>
      <c r="I366" s="3257"/>
      <c r="J366" s="3257"/>
      <c r="K366" s="3257"/>
      <c r="L366" s="3257"/>
      <c r="M366" s="3257"/>
      <c r="N366" s="3257"/>
      <c r="O366" s="160" t="s">
        <v>1715</v>
      </c>
      <c r="P366" s="2467"/>
      <c r="Q366" s="880"/>
      <c r="AE366" s="466"/>
      <c r="AF366" s="466"/>
    </row>
    <row r="367" spans="1:32" s="132" customFormat="1" ht="10.5" customHeight="1">
      <c r="A367" s="141" t="s">
        <v>1921</v>
      </c>
      <c r="B367" s="139" t="s">
        <v>3893</v>
      </c>
      <c r="D367" s="898"/>
      <c r="E367" s="898"/>
      <c r="F367" s="898"/>
      <c r="G367" s="898"/>
      <c r="H367" s="898"/>
      <c r="I367" s="898"/>
      <c r="J367" s="898"/>
      <c r="K367" s="898"/>
      <c r="L367" s="898"/>
      <c r="M367" s="898"/>
      <c r="N367" s="898"/>
      <c r="O367" s="160" t="s">
        <v>1921</v>
      </c>
      <c r="P367" s="2456"/>
      <c r="Q367" s="1148"/>
      <c r="AE367" s="466"/>
      <c r="AF367" s="466"/>
    </row>
    <row r="368" spans="1:32" s="132" customFormat="1" ht="10.5" customHeight="1">
      <c r="C368" s="879" t="s">
        <v>4662</v>
      </c>
      <c r="E368" s="1751"/>
      <c r="F368" s="1751"/>
      <c r="G368" s="1751"/>
      <c r="H368" s="1751"/>
      <c r="I368" s="1751"/>
      <c r="J368" s="1751"/>
      <c r="K368" s="1751"/>
      <c r="L368" s="1751"/>
      <c r="M368" s="1751"/>
      <c r="N368" s="1751"/>
      <c r="P368" s="2457"/>
      <c r="Q368" s="1763"/>
      <c r="AE368" s="466"/>
      <c r="AF368" s="466"/>
    </row>
    <row r="369" spans="1:32" ht="21.75" customHeight="1">
      <c r="A369" s="141" t="s">
        <v>3313</v>
      </c>
      <c r="B369" s="3257" t="s">
        <v>3894</v>
      </c>
      <c r="C369" s="3257"/>
      <c r="D369" s="3257"/>
      <c r="E369" s="3257"/>
      <c r="F369" s="3257"/>
      <c r="G369" s="3257"/>
      <c r="H369" s="3257"/>
      <c r="I369" s="3257"/>
      <c r="J369" s="3257"/>
      <c r="K369" s="3257"/>
      <c r="L369" s="3257"/>
      <c r="M369" s="3257"/>
      <c r="N369" s="3257"/>
      <c r="O369" s="160" t="s">
        <v>3313</v>
      </c>
      <c r="P369" s="2456"/>
      <c r="Q369" s="1148"/>
    </row>
    <row r="370" spans="1:32" ht="33" customHeight="1">
      <c r="A370" s="141" t="s">
        <v>605</v>
      </c>
      <c r="B370" s="3257" t="s">
        <v>3895</v>
      </c>
      <c r="C370" s="3257"/>
      <c r="D370" s="3257"/>
      <c r="E370" s="3257"/>
      <c r="F370" s="3257"/>
      <c r="G370" s="3257"/>
      <c r="H370" s="3257"/>
      <c r="I370" s="3257"/>
      <c r="J370" s="3257"/>
      <c r="K370" s="3257"/>
      <c r="L370" s="3257"/>
      <c r="M370" s="3257"/>
      <c r="N370" s="3257"/>
      <c r="O370" s="160" t="s">
        <v>605</v>
      </c>
      <c r="P370" s="2457"/>
      <c r="Q370" s="1763"/>
    </row>
    <row r="371" spans="1:32" ht="10.5" customHeight="1">
      <c r="B371" s="140" t="s">
        <v>3644</v>
      </c>
      <c r="D371" s="140"/>
      <c r="E371" s="140"/>
      <c r="F371" s="140"/>
      <c r="G371" s="140"/>
      <c r="H371" s="39"/>
      <c r="I371" s="1760"/>
      <c r="J371" s="1760"/>
      <c r="K371" s="1760"/>
      <c r="L371" s="1748"/>
      <c r="M371" s="1748"/>
      <c r="N371" s="1748"/>
      <c r="O371" s="1748"/>
      <c r="P371" s="1748"/>
      <c r="Q371" s="896"/>
    </row>
    <row r="372" spans="1:32" ht="31.5" customHeight="1">
      <c r="A372" s="3302" t="s">
        <v>4944</v>
      </c>
      <c r="B372" s="3303"/>
      <c r="C372" s="3303"/>
      <c r="D372" s="3303"/>
      <c r="E372" s="3303"/>
      <c r="F372" s="3303"/>
      <c r="G372" s="3303"/>
      <c r="H372" s="3303"/>
      <c r="I372" s="3303"/>
      <c r="J372" s="3303"/>
      <c r="K372" s="3303"/>
      <c r="L372" s="3303"/>
      <c r="M372" s="3303"/>
      <c r="N372" s="3303"/>
      <c r="O372" s="3303"/>
      <c r="P372" s="3303"/>
      <c r="Q372" s="3304"/>
      <c r="U372" s="135"/>
      <c r="V372" s="135"/>
      <c r="W372" s="135"/>
      <c r="X372" s="135"/>
      <c r="Y372" s="135"/>
      <c r="Z372" s="135"/>
      <c r="AA372" s="135"/>
      <c r="AB372" s="135"/>
      <c r="AC372" s="135"/>
      <c r="AD372" s="135"/>
      <c r="AE372" s="465"/>
    </row>
    <row r="373" spans="1:32" ht="10.5" customHeight="1">
      <c r="B373" s="136" t="s">
        <v>1841</v>
      </c>
      <c r="C373" s="137"/>
      <c r="D373" s="1751"/>
      <c r="E373" s="1751"/>
      <c r="F373" s="1751"/>
      <c r="G373" s="1751"/>
      <c r="H373" s="1751"/>
      <c r="I373" s="1751"/>
      <c r="J373" s="1751"/>
      <c r="K373" s="1751"/>
      <c r="L373" s="1751"/>
      <c r="M373" s="1751"/>
      <c r="N373" s="1751"/>
      <c r="O373" s="1751"/>
      <c r="P373" s="1751"/>
      <c r="Q373" s="1751"/>
    </row>
    <row r="374" spans="1:32" ht="23.25" customHeight="1">
      <c r="A374" s="3258"/>
      <c r="B374" s="3259"/>
      <c r="C374" s="3259"/>
      <c r="D374" s="3259"/>
      <c r="E374" s="3259"/>
      <c r="F374" s="3259"/>
      <c r="G374" s="3259"/>
      <c r="H374" s="3259"/>
      <c r="I374" s="3259"/>
      <c r="J374" s="3259"/>
      <c r="K374" s="3259"/>
      <c r="L374" s="3259"/>
      <c r="M374" s="3259"/>
      <c r="N374" s="3259"/>
      <c r="O374" s="3259"/>
      <c r="P374" s="3259"/>
      <c r="Q374" s="3260"/>
    </row>
    <row r="375" spans="1:32" ht="3" customHeight="1">
      <c r="A375" s="1748"/>
      <c r="B375" s="1760"/>
      <c r="C375" s="1751"/>
      <c r="D375" s="1751"/>
      <c r="E375" s="1751"/>
      <c r="F375" s="1751"/>
      <c r="G375" s="1751"/>
      <c r="H375" s="1751"/>
      <c r="I375" s="1751"/>
      <c r="J375" s="1751"/>
      <c r="K375" s="1751"/>
      <c r="L375" s="1751"/>
      <c r="M375" s="1751"/>
      <c r="Q375" s="896"/>
    </row>
    <row r="376" spans="1:32" ht="14.1" customHeight="1">
      <c r="A376" s="1745" t="s">
        <v>3924</v>
      </c>
      <c r="B376" s="3" t="s">
        <v>3774</v>
      </c>
      <c r="C376" s="3"/>
      <c r="D376" s="3"/>
      <c r="E376" s="3"/>
      <c r="F376" s="3"/>
      <c r="G376" s="3"/>
      <c r="H376" s="1751"/>
      <c r="I376" s="1751"/>
      <c r="J376" s="1751"/>
      <c r="O376" s="131" t="s">
        <v>1842</v>
      </c>
      <c r="P376" s="3261"/>
      <c r="Q376" s="3262"/>
    </row>
    <row r="377" spans="1:32" s="41" customFormat="1" ht="10.5" customHeight="1">
      <c r="A377" s="46" t="s">
        <v>1957</v>
      </c>
      <c r="B377" s="615" t="s">
        <v>3776</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1716</v>
      </c>
      <c r="C378" s="3499" t="s">
        <v>4589</v>
      </c>
      <c r="D378" s="3499"/>
      <c r="E378" s="3499"/>
      <c r="F378" s="3499"/>
      <c r="G378" s="49"/>
      <c r="H378" s="35" t="s">
        <v>606</v>
      </c>
      <c r="J378" s="3285"/>
      <c r="K378" s="3286"/>
      <c r="L378" s="3286"/>
      <c r="M378" s="3287"/>
      <c r="N378" s="3269" t="s">
        <v>3775</v>
      </c>
      <c r="O378" s="3270"/>
      <c r="P378" s="3271"/>
      <c r="Q378" s="3272"/>
      <c r="AE378" s="49"/>
      <c r="AF378" s="49"/>
    </row>
    <row r="379" spans="1:32" s="41" customFormat="1" ht="11.25" customHeight="1">
      <c r="A379" s="46"/>
      <c r="B379" s="39"/>
      <c r="C379" s="1766"/>
      <c r="D379" s="1766"/>
      <c r="E379" s="1766"/>
      <c r="F379" s="1766"/>
      <c r="G379" s="1766"/>
      <c r="H379" s="39" t="s">
        <v>4582</v>
      </c>
      <c r="I379" s="1766"/>
      <c r="J379" s="3288"/>
      <c r="K379" s="3289"/>
      <c r="L379" s="3289"/>
      <c r="M379" s="3289"/>
      <c r="N379" s="3289"/>
      <c r="O379" s="3289"/>
      <c r="P379" s="3289"/>
      <c r="Q379" s="3290"/>
      <c r="AE379" s="49"/>
      <c r="AF379" s="49"/>
    </row>
    <row r="380" spans="1:32" s="41" customFormat="1" ht="11.25" customHeight="1">
      <c r="B380" s="39" t="s">
        <v>1717</v>
      </c>
      <c r="C380" s="51" t="s">
        <v>3777</v>
      </c>
      <c r="J380" s="3275"/>
      <c r="K380" s="3276"/>
      <c r="O380" s="463"/>
      <c r="AE380" s="49"/>
      <c r="AF380" s="49"/>
    </row>
    <row r="381" spans="1:32" s="41" customFormat="1" ht="11.25" customHeight="1">
      <c r="A381" s="46"/>
      <c r="B381" s="39" t="s">
        <v>1718</v>
      </c>
      <c r="C381" s="51" t="s">
        <v>3778</v>
      </c>
      <c r="D381" s="45"/>
      <c r="E381" s="133"/>
      <c r="I381" s="133"/>
      <c r="J381" s="3291" t="str">
        <f>'Part I-Project Information'!K40</f>
        <v>Urban</v>
      </c>
      <c r="K381" s="3292"/>
      <c r="L381" s="1756" t="s">
        <v>3779</v>
      </c>
      <c r="M381" s="133"/>
      <c r="N381" s="133"/>
      <c r="O381" s="463" t="s">
        <v>1718</v>
      </c>
      <c r="P381" s="2447"/>
      <c r="Q381" s="533"/>
      <c r="AE381" s="49"/>
      <c r="AF381" s="49"/>
    </row>
    <row r="382" spans="1:32" s="41" customFormat="1" ht="11.25" customHeight="1">
      <c r="A382" s="46"/>
      <c r="B382" s="39" t="s">
        <v>2336</v>
      </c>
      <c r="C382" s="51" t="s">
        <v>4578</v>
      </c>
      <c r="E382" s="133"/>
      <c r="F382" s="133"/>
      <c r="G382" s="133"/>
      <c r="H382" s="51" t="s">
        <v>4579</v>
      </c>
      <c r="I382" s="133"/>
      <c r="J382" s="3273"/>
      <c r="K382" s="3274"/>
      <c r="L382" s="3297"/>
      <c r="M382" s="3298"/>
      <c r="O382" s="463"/>
      <c r="AE382" s="49"/>
      <c r="AF382" s="49"/>
    </row>
    <row r="383" spans="1:32" s="41" customFormat="1" ht="11.25" customHeight="1">
      <c r="A383" s="46"/>
      <c r="B383" s="39"/>
      <c r="C383" s="51"/>
      <c r="E383" s="133"/>
      <c r="F383" s="133"/>
      <c r="G383" s="133"/>
      <c r="H383" s="51" t="s">
        <v>4580</v>
      </c>
      <c r="I383" s="133"/>
      <c r="J383" s="3281"/>
      <c r="K383" s="3282"/>
      <c r="L383" s="3283"/>
      <c r="M383" s="3284"/>
      <c r="N383" s="51"/>
      <c r="O383" s="463"/>
      <c r="AE383" s="49"/>
      <c r="AF383" s="49"/>
    </row>
    <row r="384" spans="1:32" s="41" customFormat="1" ht="11.25" customHeight="1">
      <c r="A384" s="46"/>
      <c r="B384" s="39" t="s">
        <v>1530</v>
      </c>
      <c r="C384" s="51" t="s">
        <v>3780</v>
      </c>
      <c r="E384" s="51"/>
      <c r="F384" s="3277">
        <f>'Part IV-A-Uses of Funds'!J173</f>
        <v>858241</v>
      </c>
      <c r="G384" s="3278"/>
      <c r="H384" s="51" t="s">
        <v>3781</v>
      </c>
      <c r="I384" s="51"/>
      <c r="J384" s="1583" t="str">
        <f>IF(F384&gt;'DCA Underwriting Assumptions'!$Q$131, "Request exceeds DCA per project maximum for set aside!!!","")</f>
        <v>Request exceeds DCA per project maximum for set aside!!!</v>
      </c>
      <c r="K384" s="897"/>
      <c r="L384" s="51"/>
      <c r="O384" s="463" t="s">
        <v>1530</v>
      </c>
      <c r="P384" s="2447"/>
      <c r="Q384" s="533"/>
      <c r="AE384" s="49"/>
      <c r="AF384" s="49"/>
    </row>
    <row r="385" spans="1:32" s="41" customFormat="1" ht="11.25" customHeight="1">
      <c r="A385" s="46"/>
      <c r="B385" s="39" t="s">
        <v>1531</v>
      </c>
      <c r="C385" s="51" t="s">
        <v>3782</v>
      </c>
      <c r="E385" s="51"/>
      <c r="F385" s="51"/>
      <c r="G385" s="51"/>
      <c r="H385" s="51" t="s">
        <v>4581</v>
      </c>
      <c r="I385" s="51"/>
      <c r="J385" s="3293"/>
      <c r="K385" s="3294"/>
      <c r="L385" s="3295"/>
      <c r="M385" s="3296"/>
      <c r="AE385" s="49"/>
      <c r="AF385" s="49"/>
    </row>
    <row r="386" spans="1:32" s="41" customFormat="1" ht="11.25" customHeight="1">
      <c r="B386" s="39" t="s">
        <v>96</v>
      </c>
      <c r="C386" s="51" t="s">
        <v>3783</v>
      </c>
      <c r="E386" s="133"/>
      <c r="F386" s="133"/>
      <c r="G386" s="133"/>
      <c r="H386" s="133"/>
      <c r="I386" s="133"/>
      <c r="J386" s="133"/>
      <c r="K386" s="133"/>
      <c r="L386" s="133"/>
      <c r="O386" s="463" t="s">
        <v>96</v>
      </c>
      <c r="P386" s="2447"/>
      <c r="Q386" s="533"/>
      <c r="AE386" s="49"/>
      <c r="AF386" s="49"/>
    </row>
    <row r="387" spans="1:32" s="41" customFormat="1" ht="11.25" customHeight="1">
      <c r="A387" s="46" t="s">
        <v>1959</v>
      </c>
      <c r="B387" s="615" t="s">
        <v>3784</v>
      </c>
      <c r="D387" s="133"/>
      <c r="E387" s="133"/>
      <c r="F387" s="133"/>
      <c r="G387" s="133"/>
      <c r="H387" s="133"/>
      <c r="P387" s="133"/>
      <c r="Q387" s="133"/>
      <c r="R387" s="133"/>
      <c r="AE387" s="49"/>
      <c r="AF387" s="49"/>
    </row>
    <row r="388" spans="1:32" s="41" customFormat="1" ht="11.25" customHeight="1">
      <c r="B388" s="39" t="s">
        <v>1716</v>
      </c>
      <c r="C388" s="897" t="s">
        <v>4634</v>
      </c>
      <c r="E388" s="1756"/>
      <c r="F388" s="1756"/>
      <c r="G388" s="1756"/>
      <c r="H388" s="1756"/>
      <c r="P388" s="2447"/>
      <c r="Q388" s="533"/>
      <c r="AE388" s="49"/>
      <c r="AF388" s="49"/>
    </row>
    <row r="389" spans="1:32" s="41" customFormat="1" ht="11.25" customHeight="1">
      <c r="B389" s="39"/>
      <c r="C389" s="897"/>
      <c r="E389" s="1756"/>
      <c r="F389" s="1756"/>
      <c r="G389" s="1756"/>
      <c r="H389" s="1756"/>
      <c r="J389" s="3498" t="s">
        <v>3788</v>
      </c>
      <c r="K389" s="3498"/>
      <c r="L389" s="3498"/>
      <c r="M389" s="3498"/>
      <c r="N389" s="3263" t="s">
        <v>3786</v>
      </c>
      <c r="O389" s="3263"/>
      <c r="AE389" s="49"/>
      <c r="AF389" s="49"/>
    </row>
    <row r="390" spans="1:32" s="41" customFormat="1" ht="11.25" customHeight="1">
      <c r="A390" s="1601"/>
      <c r="B390" s="39" t="s">
        <v>1717</v>
      </c>
      <c r="C390" s="897" t="s">
        <v>3785</v>
      </c>
      <c r="E390" s="133"/>
      <c r="F390" s="133"/>
      <c r="G390" s="133"/>
      <c r="H390" s="133"/>
      <c r="I390" s="463" t="s">
        <v>1717</v>
      </c>
      <c r="J390" s="3279"/>
      <c r="K390" s="3280"/>
      <c r="L390" s="3487"/>
      <c r="M390" s="3488"/>
      <c r="N390" s="1104" t="str">
        <f>IF(J390="","",J382/J390)</f>
        <v/>
      </c>
      <c r="O390" s="1105" t="str">
        <f>IF(L390="","",L382/L390)</f>
        <v/>
      </c>
      <c r="P390" s="2468"/>
      <c r="Q390" s="1602"/>
      <c r="AE390" s="49"/>
      <c r="AF390" s="49"/>
    </row>
    <row r="391" spans="1:32" s="41" customFormat="1" ht="11.25" customHeight="1">
      <c r="A391" s="1601"/>
      <c r="B391" s="39" t="s">
        <v>1718</v>
      </c>
      <c r="C391" s="51" t="s">
        <v>3787</v>
      </c>
      <c r="E391" s="133"/>
      <c r="F391" s="133"/>
      <c r="G391" s="133"/>
      <c r="H391" s="133"/>
      <c r="N391" s="133"/>
      <c r="O391" s="463" t="s">
        <v>1718</v>
      </c>
      <c r="P391" s="2469"/>
      <c r="Q391" s="1309"/>
      <c r="AE391" s="49"/>
      <c r="AF391" s="49"/>
    </row>
    <row r="392" spans="1:32" s="41" customFormat="1" ht="11.25" customHeight="1">
      <c r="B392" s="39" t="s">
        <v>2336</v>
      </c>
      <c r="C392" s="51" t="s">
        <v>3789</v>
      </c>
      <c r="E392" s="133"/>
      <c r="F392" s="133"/>
      <c r="G392" s="133"/>
      <c r="H392" s="133"/>
      <c r="M392" s="133"/>
      <c r="N392" s="133"/>
      <c r="O392" s="463" t="s">
        <v>2336</v>
      </c>
      <c r="P392" s="2446"/>
      <c r="Q392" s="536"/>
      <c r="AE392" s="49"/>
      <c r="AF392" s="49"/>
    </row>
    <row r="393" spans="1:32" ht="10.5" customHeight="1">
      <c r="B393" s="140" t="s">
        <v>3644</v>
      </c>
      <c r="D393" s="140"/>
      <c r="E393" s="140"/>
      <c r="F393" s="140"/>
      <c r="G393" s="140"/>
      <c r="H393" s="39"/>
      <c r="I393" s="1760"/>
      <c r="J393" s="1760"/>
      <c r="K393" s="1760"/>
      <c r="L393" s="1748"/>
      <c r="M393" s="1748"/>
      <c r="N393" s="1748"/>
      <c r="O393" s="1748"/>
      <c r="P393" s="1748"/>
      <c r="Q393" s="896"/>
    </row>
    <row r="394" spans="1:32" ht="31.5" customHeight="1">
      <c r="A394" s="3302" t="s">
        <v>4944</v>
      </c>
      <c r="B394" s="3303"/>
      <c r="C394" s="3303"/>
      <c r="D394" s="3303"/>
      <c r="E394" s="3303"/>
      <c r="F394" s="3303"/>
      <c r="G394" s="3303"/>
      <c r="H394" s="3303"/>
      <c r="I394" s="3303"/>
      <c r="J394" s="3303"/>
      <c r="K394" s="3303"/>
      <c r="L394" s="3303"/>
      <c r="M394" s="3303"/>
      <c r="N394" s="3303"/>
      <c r="O394" s="3303"/>
      <c r="P394" s="3303"/>
      <c r="Q394" s="3304"/>
      <c r="U394" s="135"/>
      <c r="V394" s="135"/>
      <c r="W394" s="135"/>
      <c r="X394" s="135"/>
      <c r="Y394" s="135"/>
      <c r="Z394" s="135"/>
      <c r="AA394" s="135"/>
      <c r="AB394" s="135"/>
      <c r="AC394" s="135"/>
      <c r="AD394" s="135"/>
      <c r="AE394" s="465"/>
    </row>
    <row r="395" spans="1:32" ht="11.25" customHeight="1">
      <c r="B395" s="136" t="s">
        <v>1841</v>
      </c>
      <c r="C395" s="137"/>
      <c r="D395" s="1751"/>
      <c r="E395" s="1751"/>
      <c r="F395" s="1751"/>
      <c r="G395" s="1751"/>
      <c r="H395" s="1751"/>
      <c r="I395" s="1751"/>
      <c r="J395" s="1751"/>
      <c r="K395" s="1751"/>
      <c r="L395" s="1751"/>
      <c r="M395" s="1751"/>
      <c r="N395" s="1751"/>
      <c r="O395" s="1751"/>
      <c r="P395" s="1751"/>
      <c r="Q395" s="1751"/>
    </row>
    <row r="396" spans="1:32" ht="23.25" customHeight="1">
      <c r="A396" s="3258"/>
      <c r="B396" s="3259"/>
      <c r="C396" s="3259"/>
      <c r="D396" s="3259"/>
      <c r="E396" s="3259"/>
      <c r="F396" s="3259"/>
      <c r="G396" s="3259"/>
      <c r="H396" s="3259"/>
      <c r="I396" s="3259"/>
      <c r="J396" s="3259"/>
      <c r="K396" s="3259"/>
      <c r="L396" s="3259"/>
      <c r="M396" s="3259"/>
      <c r="N396" s="3259"/>
      <c r="O396" s="3259"/>
      <c r="P396" s="3259"/>
      <c r="Q396" s="3260"/>
    </row>
    <row r="397" spans="1:32" ht="3.6" customHeight="1">
      <c r="A397" s="1748"/>
      <c r="B397" s="1760"/>
      <c r="C397" s="1751"/>
      <c r="D397" s="1751"/>
      <c r="E397" s="1751"/>
      <c r="F397" s="1751"/>
      <c r="G397" s="1751"/>
      <c r="H397" s="1751"/>
      <c r="I397" s="1751"/>
      <c r="J397" s="1751"/>
      <c r="K397" s="1751"/>
      <c r="L397" s="1751"/>
      <c r="M397" s="1751"/>
      <c r="Q397" s="896"/>
    </row>
    <row r="398" spans="1:32" ht="3" customHeight="1">
      <c r="A398" s="1748"/>
      <c r="B398" s="1760"/>
      <c r="C398" s="1751"/>
      <c r="D398" s="1751"/>
      <c r="E398" s="1751"/>
      <c r="F398" s="1751"/>
      <c r="G398" s="1751"/>
      <c r="H398" s="1751"/>
      <c r="I398" s="1751"/>
      <c r="J398" s="1751"/>
      <c r="K398" s="1751"/>
      <c r="L398" s="1751"/>
      <c r="M398" s="1751"/>
      <c r="Q398" s="896"/>
    </row>
    <row r="399" spans="1:32" ht="14.1" customHeight="1">
      <c r="A399" s="1745" t="s">
        <v>3925</v>
      </c>
      <c r="B399" s="3" t="s">
        <v>2647</v>
      </c>
      <c r="C399" s="3"/>
      <c r="D399" s="3"/>
      <c r="E399" s="3"/>
      <c r="F399" s="3"/>
      <c r="G399" s="3"/>
      <c r="H399" s="1751"/>
      <c r="I399" s="1751"/>
      <c r="J399" s="1751"/>
      <c r="O399" s="131" t="s">
        <v>1842</v>
      </c>
      <c r="P399" s="3261"/>
      <c r="Q399" s="3262"/>
    </row>
    <row r="400" spans="1:32" ht="11.4" customHeight="1">
      <c r="A400" s="46" t="s">
        <v>1957</v>
      </c>
      <c r="B400" s="117" t="s">
        <v>1021</v>
      </c>
      <c r="E400" s="3477"/>
      <c r="F400" s="3478"/>
      <c r="G400" s="3478"/>
      <c r="H400" s="3478"/>
      <c r="I400" s="3479"/>
      <c r="J400" s="3480" t="s">
        <v>2634</v>
      </c>
      <c r="K400" s="3481"/>
      <c r="L400" s="3270"/>
      <c r="M400" s="3477"/>
      <c r="N400" s="3478"/>
      <c r="O400" s="3478"/>
      <c r="P400" s="3478"/>
      <c r="Q400" s="3479"/>
    </row>
    <row r="401" spans="1:31" ht="11.4" customHeight="1">
      <c r="A401" s="46" t="s">
        <v>1959</v>
      </c>
      <c r="B401" s="51" t="s">
        <v>3397</v>
      </c>
      <c r="D401" s="51"/>
      <c r="E401" s="51"/>
      <c r="F401" s="51"/>
      <c r="G401" s="51"/>
      <c r="H401" s="51"/>
      <c r="I401" s="51"/>
      <c r="J401" s="51"/>
      <c r="K401" s="51"/>
      <c r="L401" s="897"/>
      <c r="M401" s="897"/>
      <c r="O401" s="463" t="s">
        <v>1959</v>
      </c>
      <c r="P401" s="2444"/>
      <c r="Q401" s="534"/>
    </row>
    <row r="402" spans="1:31" ht="22.5" customHeight="1">
      <c r="A402" s="141" t="s">
        <v>738</v>
      </c>
      <c r="B402" s="3257" t="s">
        <v>3407</v>
      </c>
      <c r="C402" s="3257"/>
      <c r="D402" s="3257"/>
      <c r="E402" s="3257"/>
      <c r="F402" s="3257"/>
      <c r="G402" s="3257"/>
      <c r="H402" s="3257"/>
      <c r="I402" s="3257"/>
      <c r="J402" s="3257"/>
      <c r="K402" s="3257"/>
      <c r="L402" s="3257"/>
      <c r="M402" s="3257"/>
      <c r="N402" s="3257"/>
      <c r="O402" s="160" t="s">
        <v>738</v>
      </c>
      <c r="P402" s="2454"/>
      <c r="Q402" s="1754"/>
    </row>
    <row r="403" spans="1:31">
      <c r="A403" s="46" t="s">
        <v>2088</v>
      </c>
      <c r="B403" s="54" t="s">
        <v>3596</v>
      </c>
      <c r="G403" s="1756"/>
      <c r="H403" s="1756"/>
      <c r="I403" s="1756"/>
      <c r="J403" s="897" t="s">
        <v>3597</v>
      </c>
      <c r="L403" s="1756"/>
      <c r="M403" s="3300">
        <f>'Part III-Sources of Funds'!H5</f>
        <v>0</v>
      </c>
      <c r="N403" s="3301"/>
      <c r="O403" s="463" t="s">
        <v>2088</v>
      </c>
      <c r="P403" s="2446"/>
      <c r="Q403" s="536"/>
    </row>
    <row r="404" spans="1:31" ht="11.25" customHeight="1">
      <c r="B404" s="140" t="s">
        <v>3644</v>
      </c>
      <c r="D404" s="140"/>
      <c r="E404" s="140"/>
      <c r="F404" s="140"/>
      <c r="G404" s="140"/>
      <c r="H404" s="39"/>
      <c r="I404" s="1760"/>
      <c r="J404" s="1760"/>
      <c r="K404" s="1760"/>
      <c r="L404" s="1748"/>
      <c r="M404" s="1748"/>
      <c r="N404" s="1748"/>
      <c r="O404" s="1748"/>
      <c r="P404" s="1748"/>
      <c r="Q404" s="896"/>
    </row>
    <row r="405" spans="1:31" ht="11.4" customHeight="1">
      <c r="A405" s="3302" t="s">
        <v>4944</v>
      </c>
      <c r="B405" s="3303"/>
      <c r="C405" s="3303"/>
      <c r="D405" s="3303"/>
      <c r="E405" s="3303"/>
      <c r="F405" s="3303"/>
      <c r="G405" s="3303"/>
      <c r="H405" s="3303"/>
      <c r="I405" s="3303"/>
      <c r="J405" s="3303"/>
      <c r="K405" s="3303"/>
      <c r="L405" s="3303"/>
      <c r="M405" s="3303"/>
      <c r="N405" s="3303"/>
      <c r="O405" s="3303"/>
      <c r="P405" s="3303"/>
      <c r="Q405" s="3304"/>
      <c r="U405" s="135"/>
      <c r="V405" s="135"/>
      <c r="W405" s="135"/>
      <c r="X405" s="135"/>
      <c r="Y405" s="135"/>
      <c r="Z405" s="135"/>
      <c r="AA405" s="135"/>
      <c r="AB405" s="135"/>
      <c r="AC405" s="135"/>
      <c r="AD405" s="135"/>
      <c r="AE405" s="465"/>
    </row>
    <row r="406" spans="1:31" ht="11.25" customHeight="1">
      <c r="B406" s="136" t="s">
        <v>1841</v>
      </c>
      <c r="C406" s="137"/>
      <c r="D406" s="1751"/>
      <c r="E406" s="1751"/>
      <c r="F406" s="1751"/>
      <c r="G406" s="1751"/>
      <c r="H406" s="1751"/>
      <c r="I406" s="1751"/>
      <c r="J406" s="1751"/>
      <c r="K406" s="1751"/>
      <c r="L406" s="1751"/>
      <c r="M406" s="1751"/>
      <c r="N406" s="1751"/>
      <c r="O406" s="1751"/>
      <c r="P406" s="1751"/>
      <c r="Q406" s="1751"/>
    </row>
    <row r="407" spans="1:31" ht="11.4" customHeight="1">
      <c r="A407" s="3258"/>
      <c r="B407" s="3259"/>
      <c r="C407" s="3259"/>
      <c r="D407" s="3259"/>
      <c r="E407" s="3259"/>
      <c r="F407" s="3259"/>
      <c r="G407" s="3259"/>
      <c r="H407" s="3259"/>
      <c r="I407" s="3259"/>
      <c r="J407" s="3259"/>
      <c r="K407" s="3259"/>
      <c r="L407" s="3259"/>
      <c r="M407" s="3259"/>
      <c r="N407" s="3259"/>
      <c r="O407" s="3259"/>
      <c r="P407" s="3259"/>
      <c r="Q407" s="3260"/>
    </row>
    <row r="408" spans="1:31" ht="3.6" customHeight="1">
      <c r="A408" s="1748"/>
      <c r="B408" s="1760"/>
      <c r="C408" s="1751"/>
      <c r="D408" s="1751"/>
      <c r="E408" s="1751"/>
      <c r="F408" s="1751"/>
      <c r="G408" s="1751"/>
      <c r="H408" s="1751"/>
      <c r="I408" s="1751"/>
      <c r="J408" s="1751"/>
      <c r="K408" s="1751"/>
      <c r="L408" s="1751"/>
      <c r="M408" s="1751"/>
      <c r="Q408" s="896"/>
    </row>
    <row r="409" spans="1:31" ht="14.1" customHeight="1">
      <c r="A409" s="1745" t="s">
        <v>3926</v>
      </c>
      <c r="B409" s="3" t="s">
        <v>2631</v>
      </c>
      <c r="C409" s="3"/>
      <c r="D409" s="3"/>
      <c r="E409" s="1751"/>
      <c r="G409" s="139" t="s">
        <v>690</v>
      </c>
      <c r="H409" s="1751"/>
      <c r="I409" s="1751"/>
      <c r="J409" s="1751"/>
      <c r="K409" s="1751"/>
      <c r="L409" s="1751"/>
      <c r="M409" s="1751"/>
      <c r="O409" s="131" t="s">
        <v>1842</v>
      </c>
      <c r="P409" s="3261"/>
      <c r="Q409" s="3299"/>
    </row>
    <row r="410" spans="1:31" ht="12" customHeight="1">
      <c r="A410" s="46" t="s">
        <v>1957</v>
      </c>
      <c r="B410" s="51" t="s">
        <v>2636</v>
      </c>
      <c r="D410" s="898"/>
      <c r="E410" s="898"/>
      <c r="H410" s="139"/>
      <c r="O410" s="463" t="s">
        <v>1957</v>
      </c>
      <c r="P410" s="2444"/>
      <c r="Q410" s="534"/>
    </row>
    <row r="411" spans="1:31" ht="12" customHeight="1">
      <c r="A411" s="46" t="s">
        <v>1959</v>
      </c>
      <c r="B411" s="51" t="s">
        <v>3509</v>
      </c>
      <c r="D411" s="898"/>
      <c r="E411" s="898"/>
      <c r="O411" s="463" t="s">
        <v>1959</v>
      </c>
      <c r="P411" s="2445"/>
      <c r="Q411" s="535"/>
    </row>
    <row r="412" spans="1:31" ht="12" customHeight="1">
      <c r="A412" s="46" t="s">
        <v>738</v>
      </c>
      <c r="B412" s="51" t="s">
        <v>3896</v>
      </c>
      <c r="D412" s="898"/>
      <c r="E412" s="898"/>
      <c r="O412" s="463" t="s">
        <v>738</v>
      </c>
      <c r="P412" s="2445"/>
      <c r="Q412" s="535"/>
    </row>
    <row r="413" spans="1:31" ht="12" customHeight="1">
      <c r="A413" s="46" t="s">
        <v>2088</v>
      </c>
      <c r="B413" s="51" t="s">
        <v>3510</v>
      </c>
      <c r="E413" s="139"/>
      <c r="O413" s="463" t="s">
        <v>2088</v>
      </c>
      <c r="P413" s="2445"/>
      <c r="Q413" s="535"/>
    </row>
    <row r="414" spans="1:31" ht="12" customHeight="1">
      <c r="A414" s="46" t="s">
        <v>1714</v>
      </c>
      <c r="B414" s="51" t="s">
        <v>2053</v>
      </c>
      <c r="E414" s="139"/>
      <c r="G414" s="463" t="s">
        <v>1714</v>
      </c>
      <c r="H414" s="3500"/>
      <c r="I414" s="3501"/>
      <c r="J414" s="3501"/>
      <c r="K414" s="3501"/>
      <c r="L414" s="3501"/>
      <c r="M414" s="3501"/>
      <c r="N414" s="3501"/>
      <c r="O414" s="3502"/>
      <c r="P414" s="2446"/>
      <c r="Q414" s="536"/>
    </row>
    <row r="415" spans="1:31" ht="11.25" customHeight="1">
      <c r="B415" s="140" t="s">
        <v>3644</v>
      </c>
      <c r="D415" s="140"/>
      <c r="E415" s="140"/>
      <c r="F415" s="140"/>
      <c r="G415" s="140"/>
      <c r="H415" s="39"/>
      <c r="I415" s="1760"/>
      <c r="J415" s="1760"/>
      <c r="K415" s="1760"/>
      <c r="L415" s="1748"/>
      <c r="M415" s="1748"/>
      <c r="N415" s="1748"/>
      <c r="O415" s="1748"/>
      <c r="P415" s="1748"/>
      <c r="Q415" s="896"/>
    </row>
    <row r="416" spans="1:31" ht="11.4" customHeight="1">
      <c r="A416" s="3302" t="s">
        <v>4959</v>
      </c>
      <c r="B416" s="3303"/>
      <c r="C416" s="3303"/>
      <c r="D416" s="3303"/>
      <c r="E416" s="3303"/>
      <c r="F416" s="3303"/>
      <c r="G416" s="3303"/>
      <c r="H416" s="3303"/>
      <c r="I416" s="3303"/>
      <c r="J416" s="3303"/>
      <c r="K416" s="3303"/>
      <c r="L416" s="3303"/>
      <c r="M416" s="3303"/>
      <c r="N416" s="3303"/>
      <c r="O416" s="3303"/>
      <c r="P416" s="3303"/>
      <c r="Q416" s="3304"/>
      <c r="U416" s="135"/>
      <c r="V416" s="135"/>
      <c r="W416" s="135"/>
      <c r="X416" s="135"/>
      <c r="Y416" s="135"/>
      <c r="Z416" s="135"/>
      <c r="AA416" s="135"/>
      <c r="AB416" s="135"/>
      <c r="AC416" s="135"/>
      <c r="AD416" s="135"/>
      <c r="AE416" s="465"/>
    </row>
    <row r="417" spans="1:32" ht="11.25" customHeight="1">
      <c r="B417" s="136" t="s">
        <v>1841</v>
      </c>
      <c r="C417" s="137"/>
      <c r="D417" s="1751"/>
      <c r="E417" s="1751"/>
      <c r="F417" s="1751"/>
      <c r="G417" s="1751"/>
      <c r="H417" s="1751"/>
      <c r="I417" s="1751"/>
      <c r="J417" s="1751"/>
      <c r="K417" s="1751"/>
      <c r="L417" s="1751"/>
      <c r="M417" s="1751"/>
      <c r="N417" s="1751"/>
      <c r="O417" s="1751"/>
      <c r="P417" s="1751"/>
      <c r="Q417" s="1751"/>
    </row>
    <row r="418" spans="1:32" ht="11.4" customHeight="1">
      <c r="A418" s="3258"/>
      <c r="B418" s="3259"/>
      <c r="C418" s="3259"/>
      <c r="D418" s="3259"/>
      <c r="E418" s="3259"/>
      <c r="F418" s="3259"/>
      <c r="G418" s="3259"/>
      <c r="H418" s="3259"/>
      <c r="I418" s="3259"/>
      <c r="J418" s="3259"/>
      <c r="K418" s="3259"/>
      <c r="L418" s="3259"/>
      <c r="M418" s="3259"/>
      <c r="N418" s="3259"/>
      <c r="O418" s="3259"/>
      <c r="P418" s="3259"/>
      <c r="Q418" s="3260"/>
    </row>
    <row r="419" spans="1:32" ht="3" customHeight="1">
      <c r="A419" s="1748"/>
      <c r="B419" s="1760"/>
      <c r="C419" s="1751"/>
      <c r="D419" s="1751"/>
      <c r="E419" s="1751"/>
      <c r="F419" s="1751"/>
      <c r="G419" s="1751"/>
      <c r="H419" s="1751"/>
      <c r="I419" s="1751"/>
      <c r="J419" s="1751"/>
      <c r="K419" s="1751"/>
      <c r="L419" s="1751"/>
      <c r="M419" s="1751"/>
      <c r="N419" s="1751"/>
      <c r="O419" s="1751"/>
      <c r="P419" s="1751"/>
      <c r="Q419" s="1748"/>
    </row>
    <row r="420" spans="1:32" ht="14.1" customHeight="1">
      <c r="A420" s="1745" t="s">
        <v>3927</v>
      </c>
      <c r="B420" s="3" t="s">
        <v>2632</v>
      </c>
      <c r="C420" s="3"/>
      <c r="D420" s="3"/>
      <c r="E420" s="3"/>
      <c r="F420" s="3"/>
      <c r="G420" s="3"/>
      <c r="H420" s="1751"/>
      <c r="I420" s="1751"/>
      <c r="J420" s="1751"/>
      <c r="K420" s="1751"/>
      <c r="L420" s="1751"/>
      <c r="M420" s="1751"/>
      <c r="O420" s="131" t="s">
        <v>1842</v>
      </c>
      <c r="P420" s="3261"/>
      <c r="Q420" s="3299"/>
    </row>
    <row r="421" spans="1:32" ht="12" customHeight="1">
      <c r="A421" s="46" t="s">
        <v>1957</v>
      </c>
      <c r="B421" s="38" t="s">
        <v>741</v>
      </c>
      <c r="D421" s="41"/>
      <c r="E421" s="41"/>
      <c r="F421" s="41"/>
      <c r="G421" s="41"/>
      <c r="H421" s="41"/>
      <c r="I421" s="41"/>
      <c r="J421" s="41"/>
      <c r="K421" s="41"/>
      <c r="L421" s="41"/>
      <c r="M421" s="41"/>
      <c r="N421" s="41"/>
      <c r="O421" s="463" t="s">
        <v>1957</v>
      </c>
      <c r="P421" s="2444" t="s">
        <v>2936</v>
      </c>
      <c r="Q421" s="534"/>
    </row>
    <row r="422" spans="1:32" ht="12" customHeight="1">
      <c r="A422" s="46" t="s">
        <v>1959</v>
      </c>
      <c r="B422" s="35" t="s">
        <v>3409</v>
      </c>
      <c r="D422" s="41"/>
      <c r="E422" s="41"/>
      <c r="F422" s="41"/>
      <c r="G422" s="41"/>
      <c r="H422" s="41"/>
      <c r="I422" s="41"/>
      <c r="J422" s="41"/>
      <c r="K422" s="41"/>
      <c r="L422" s="41"/>
      <c r="M422" s="41"/>
      <c r="N422" s="41"/>
      <c r="O422" s="463" t="s">
        <v>1430</v>
      </c>
      <c r="P422" s="2446"/>
      <c r="Q422" s="536"/>
    </row>
    <row r="423" spans="1:32" ht="12" customHeight="1">
      <c r="A423" s="46"/>
      <c r="C423" s="51" t="s">
        <v>1465</v>
      </c>
      <c r="D423" s="51"/>
      <c r="E423" s="51"/>
      <c r="F423" s="51"/>
      <c r="G423" s="51"/>
      <c r="H423" s="51"/>
      <c r="I423" s="51"/>
      <c r="J423" s="51"/>
      <c r="K423" s="51"/>
      <c r="L423" s="51"/>
      <c r="M423" s="51"/>
      <c r="N423" s="41"/>
    </row>
    <row r="424" spans="1:32" ht="12" customHeight="1">
      <c r="A424" s="46"/>
      <c r="B424" s="51" t="s">
        <v>1717</v>
      </c>
      <c r="C424" s="51" t="s">
        <v>3408</v>
      </c>
      <c r="E424" s="51"/>
      <c r="F424" s="51"/>
      <c r="G424" s="51"/>
      <c r="H424" s="51"/>
      <c r="I424" s="51"/>
      <c r="J424" s="51"/>
      <c r="K424" s="51"/>
      <c r="L424" s="51"/>
      <c r="M424" s="51"/>
      <c r="N424" s="41"/>
      <c r="O424" s="463" t="s">
        <v>1717</v>
      </c>
      <c r="P424" s="2444"/>
      <c r="Q424" s="534"/>
    </row>
    <row r="425" spans="1:32" s="147" customFormat="1" ht="12" customHeight="1">
      <c r="A425" s="46"/>
      <c r="B425" s="51" t="s">
        <v>3500</v>
      </c>
      <c r="C425" s="51" t="s">
        <v>3501</v>
      </c>
      <c r="E425" s="51"/>
      <c r="F425" s="51"/>
      <c r="G425" s="51"/>
      <c r="H425" s="51"/>
      <c r="I425" s="51"/>
      <c r="J425" s="51"/>
      <c r="K425" s="51"/>
      <c r="L425" s="51"/>
      <c r="M425" s="51"/>
      <c r="N425" s="94"/>
      <c r="O425" s="463" t="s">
        <v>1718</v>
      </c>
      <c r="P425" s="2445"/>
      <c r="Q425" s="535"/>
      <c r="AE425" s="467"/>
      <c r="AF425" s="467"/>
    </row>
    <row r="426" spans="1:32" ht="12" customHeight="1">
      <c r="A426" s="46" t="s">
        <v>738</v>
      </c>
      <c r="B426" s="51" t="s">
        <v>2174</v>
      </c>
      <c r="C426" s="51"/>
      <c r="E426" s="51"/>
      <c r="F426" s="51"/>
      <c r="G426" s="51"/>
      <c r="H426" s="51"/>
      <c r="I426" s="51"/>
      <c r="J426" s="51"/>
      <c r="K426" s="51"/>
      <c r="L426" s="51"/>
      <c r="M426" s="51"/>
      <c r="N426" s="51"/>
      <c r="O426" s="463" t="s">
        <v>738</v>
      </c>
      <c r="P426" s="2445"/>
      <c r="Q426" s="535"/>
    </row>
    <row r="427" spans="1:32" ht="12" customHeight="1">
      <c r="A427" s="46" t="s">
        <v>2088</v>
      </c>
      <c r="B427" s="3257" t="s">
        <v>2765</v>
      </c>
      <c r="C427" s="3257"/>
      <c r="D427" s="3257"/>
      <c r="E427" s="3257"/>
      <c r="F427" s="897"/>
      <c r="G427" s="134" t="s">
        <v>2175</v>
      </c>
      <c r="J427" s="2470"/>
      <c r="K427" s="540"/>
      <c r="M427" s="134" t="s">
        <v>2178</v>
      </c>
      <c r="P427" s="2471"/>
      <c r="Q427" s="541"/>
    </row>
    <row r="428" spans="1:32" ht="12" customHeight="1">
      <c r="A428" s="46"/>
      <c r="B428" s="3257"/>
      <c r="C428" s="3257"/>
      <c r="D428" s="3257"/>
      <c r="E428" s="3257"/>
      <c r="F428" s="897"/>
      <c r="G428" s="134" t="s">
        <v>2176</v>
      </c>
      <c r="J428" s="2471"/>
      <c r="K428" s="541"/>
      <c r="M428" s="134" t="s">
        <v>2179</v>
      </c>
      <c r="P428" s="2472"/>
      <c r="Q428" s="542"/>
    </row>
    <row r="429" spans="1:32" ht="12" customHeight="1">
      <c r="A429" s="46"/>
      <c r="B429" s="3257"/>
      <c r="C429" s="3257"/>
      <c r="D429" s="3257"/>
      <c r="E429" s="3257"/>
      <c r="F429" s="897"/>
      <c r="G429" s="134" t="s">
        <v>2177</v>
      </c>
      <c r="J429" s="2472"/>
      <c r="K429" s="542"/>
      <c r="L429" s="897"/>
      <c r="M429" s="41"/>
      <c r="N429" s="463"/>
    </row>
    <row r="430" spans="1:32" ht="12" customHeight="1">
      <c r="A430" s="46" t="s">
        <v>1714</v>
      </c>
      <c r="B430" s="897" t="s">
        <v>4596</v>
      </c>
      <c r="C430" s="897"/>
      <c r="E430" s="897"/>
      <c r="F430" s="897"/>
      <c r="G430" s="897"/>
      <c r="J430" s="41"/>
      <c r="K430" s="897"/>
      <c r="L430" s="897"/>
      <c r="M430" s="41"/>
      <c r="N430" s="463"/>
      <c r="P430" s="463"/>
      <c r="Q430" s="463"/>
    </row>
    <row r="431" spans="1:32" ht="12" customHeight="1">
      <c r="A431" s="46"/>
      <c r="B431" s="431" t="s">
        <v>1716</v>
      </c>
      <c r="C431" s="897" t="s">
        <v>4446</v>
      </c>
      <c r="E431" s="897"/>
      <c r="G431" s="431" t="s">
        <v>4441</v>
      </c>
      <c r="H431" s="897"/>
      <c r="I431" s="897"/>
      <c r="J431" s="2444"/>
      <c r="K431" s="534"/>
      <c r="L431" s="897"/>
      <c r="M431" s="431" t="s">
        <v>4444</v>
      </c>
    </row>
    <row r="432" spans="1:32" ht="12" customHeight="1">
      <c r="A432" s="41"/>
      <c r="G432" s="431" t="s">
        <v>4442</v>
      </c>
      <c r="H432" s="897"/>
      <c r="I432" s="897"/>
      <c r="J432" s="2445"/>
      <c r="K432" s="535"/>
      <c r="M432" s="3492"/>
      <c r="N432" s="3493"/>
      <c r="O432" s="3493"/>
      <c r="P432" s="3493"/>
      <c r="Q432" s="3494"/>
    </row>
    <row r="433" spans="1:32" ht="12" customHeight="1">
      <c r="A433" s="41"/>
      <c r="G433" s="431" t="s">
        <v>4443</v>
      </c>
      <c r="H433" s="897"/>
      <c r="J433" s="2446"/>
      <c r="K433" s="536"/>
      <c r="M433" s="3495"/>
      <c r="N433" s="3496"/>
      <c r="O433" s="3496"/>
      <c r="P433" s="3496"/>
      <c r="Q433" s="3497"/>
    </row>
    <row r="434" spans="1:32" ht="12" customHeight="1">
      <c r="A434" s="46"/>
      <c r="B434" s="431" t="s">
        <v>1717</v>
      </c>
      <c r="C434" s="897" t="s">
        <v>4445</v>
      </c>
      <c r="D434" s="147"/>
      <c r="E434" s="897"/>
      <c r="F434" s="897"/>
      <c r="L434" s="897"/>
      <c r="M434" s="897"/>
      <c r="O434" s="463" t="s">
        <v>1717</v>
      </c>
      <c r="P434" s="2447" t="s">
        <v>1749</v>
      </c>
      <c r="Q434" s="533" t="s">
        <v>1749</v>
      </c>
    </row>
    <row r="435" spans="1:32" ht="12" customHeight="1">
      <c r="A435" s="41"/>
      <c r="B435" s="147"/>
      <c r="C435" s="431" t="s">
        <v>2403</v>
      </c>
      <c r="D435" s="431" t="s">
        <v>4453</v>
      </c>
      <c r="E435" s="897"/>
      <c r="F435" s="897"/>
      <c r="G435" s="3266"/>
      <c r="H435" s="3267"/>
      <c r="I435" s="3267"/>
      <c r="J435" s="3267"/>
      <c r="K435" s="3268"/>
      <c r="L435" s="1549"/>
    </row>
    <row r="436" spans="1:32" ht="12" customHeight="1">
      <c r="A436" s="41"/>
      <c r="B436" s="147"/>
      <c r="C436" s="431" t="s">
        <v>2404</v>
      </c>
      <c r="D436" s="431" t="s">
        <v>4454</v>
      </c>
      <c r="E436" s="897"/>
      <c r="F436" s="1549"/>
      <c r="G436" s="3474" t="s">
        <v>3599</v>
      </c>
      <c r="H436" s="3475"/>
      <c r="I436" s="3476"/>
      <c r="J436" s="431" t="s">
        <v>4455</v>
      </c>
      <c r="K436" s="147"/>
      <c r="M436" s="3266"/>
      <c r="N436" s="3267"/>
      <c r="O436" s="3267"/>
      <c r="P436" s="3267"/>
      <c r="Q436" s="3268"/>
    </row>
    <row r="437" spans="1:32" ht="12" customHeight="1">
      <c r="A437" s="41"/>
      <c r="B437" s="147"/>
      <c r="C437" s="431" t="s">
        <v>4657</v>
      </c>
      <c r="D437" s="147"/>
      <c r="E437" s="897"/>
      <c r="F437" s="897"/>
      <c r="G437" s="897"/>
      <c r="H437" s="897"/>
      <c r="I437" s="897"/>
      <c r="J437" s="897"/>
      <c r="K437" s="897"/>
      <c r="L437" s="897"/>
      <c r="M437" s="897"/>
      <c r="N437" s="897"/>
      <c r="O437" s="897"/>
      <c r="P437" s="897"/>
      <c r="Q437" s="897"/>
    </row>
    <row r="438" spans="1:32" ht="51" customHeight="1">
      <c r="B438" s="3482"/>
      <c r="C438" s="3483"/>
      <c r="D438" s="3483"/>
      <c r="E438" s="3483"/>
      <c r="F438" s="3483"/>
      <c r="G438" s="3483"/>
      <c r="H438" s="3483"/>
      <c r="I438" s="3483"/>
      <c r="J438" s="3483"/>
      <c r="K438" s="3483"/>
      <c r="L438" s="3483"/>
      <c r="M438" s="3483"/>
      <c r="N438" s="3483"/>
      <c r="O438" s="3483"/>
      <c r="P438" s="3483"/>
      <c r="Q438" s="3484"/>
      <c r="R438" s="445" t="s">
        <v>4447</v>
      </c>
      <c r="U438" s="135"/>
      <c r="V438" s="135"/>
      <c r="W438" s="135"/>
      <c r="X438" s="135"/>
      <c r="Y438" s="135"/>
      <c r="Z438" s="135"/>
      <c r="AA438" s="135"/>
      <c r="AB438" s="135"/>
      <c r="AC438" s="135"/>
      <c r="AD438" s="135"/>
      <c r="AE438" s="465"/>
    </row>
    <row r="439" spans="1:32" ht="12" customHeight="1">
      <c r="B439" s="140" t="s">
        <v>3644</v>
      </c>
      <c r="D439" s="140"/>
      <c r="E439" s="140"/>
      <c r="F439" s="140"/>
      <c r="G439" s="140"/>
      <c r="H439" s="39"/>
      <c r="I439" s="1760"/>
      <c r="J439" s="1760"/>
      <c r="K439" s="1760"/>
    </row>
    <row r="440" spans="1:32" ht="12" customHeight="1">
      <c r="A440" s="3302" t="s">
        <v>4960</v>
      </c>
      <c r="B440" s="3303"/>
      <c r="C440" s="3303"/>
      <c r="D440" s="3303"/>
      <c r="E440" s="3303"/>
      <c r="F440" s="3303"/>
      <c r="G440" s="3303"/>
      <c r="H440" s="3303"/>
      <c r="I440" s="3303"/>
      <c r="J440" s="3303"/>
      <c r="K440" s="3303"/>
      <c r="L440" s="3303"/>
      <c r="M440" s="3303"/>
      <c r="N440" s="3303"/>
      <c r="O440" s="3303"/>
      <c r="P440" s="3303"/>
      <c r="Q440" s="3304"/>
      <c r="U440" s="135"/>
      <c r="V440" s="135"/>
      <c r="W440" s="135"/>
      <c r="X440" s="135"/>
      <c r="Y440" s="135"/>
      <c r="Z440" s="135"/>
      <c r="AA440" s="135"/>
      <c r="AB440" s="135"/>
      <c r="AC440" s="135"/>
      <c r="AD440" s="135"/>
      <c r="AE440" s="465"/>
    </row>
    <row r="441" spans="1:32" ht="12" customHeight="1">
      <c r="B441" s="136" t="s">
        <v>1841</v>
      </c>
      <c r="C441" s="137"/>
      <c r="D441" s="1751"/>
      <c r="E441" s="1751"/>
      <c r="F441" s="1751"/>
      <c r="G441" s="1751"/>
      <c r="H441" s="1751"/>
      <c r="I441" s="1751"/>
      <c r="J441" s="1751"/>
      <c r="K441" s="1751"/>
      <c r="L441" s="1751"/>
      <c r="M441" s="1751"/>
      <c r="N441" s="1751"/>
      <c r="O441" s="1751"/>
      <c r="P441" s="1751"/>
      <c r="Q441" s="1751"/>
    </row>
    <row r="442" spans="1:32" ht="12" customHeight="1">
      <c r="A442" s="3258"/>
      <c r="B442" s="3259"/>
      <c r="C442" s="3259"/>
      <c r="D442" s="3259"/>
      <c r="E442" s="3259"/>
      <c r="F442" s="3259"/>
      <c r="G442" s="3259"/>
      <c r="H442" s="3259"/>
      <c r="I442" s="3259"/>
      <c r="J442" s="3259"/>
      <c r="K442" s="3259"/>
      <c r="L442" s="3259"/>
      <c r="M442" s="3259"/>
      <c r="N442" s="3259"/>
      <c r="O442" s="3259"/>
      <c r="P442" s="3259"/>
      <c r="Q442" s="3260"/>
    </row>
    <row r="443" spans="1:32" ht="3" customHeight="1">
      <c r="A443" s="1748"/>
      <c r="B443" s="1760"/>
      <c r="C443" s="1751"/>
      <c r="D443" s="1751"/>
      <c r="E443" s="1751"/>
      <c r="F443" s="1751"/>
      <c r="G443" s="1751"/>
      <c r="H443" s="1751"/>
      <c r="I443" s="1751"/>
      <c r="J443" s="1751"/>
      <c r="K443" s="1751"/>
      <c r="L443" s="1751"/>
      <c r="M443" s="1751"/>
      <c r="Q443" s="896"/>
    </row>
    <row r="444" spans="1:32" ht="14.1" customHeight="1">
      <c r="A444" s="1745" t="s">
        <v>3928</v>
      </c>
      <c r="B444" s="3" t="s">
        <v>2766</v>
      </c>
      <c r="C444" s="3"/>
      <c r="D444" s="86"/>
      <c r="E444" s="1751"/>
      <c r="F444" s="1751"/>
      <c r="G444" s="1751"/>
      <c r="H444" s="1751"/>
      <c r="O444" s="131" t="s">
        <v>1842</v>
      </c>
      <c r="P444" s="3261"/>
      <c r="Q444" s="3262"/>
    </row>
    <row r="445" spans="1:32" ht="14.1" customHeight="1">
      <c r="B445" s="86" t="s">
        <v>4715</v>
      </c>
      <c r="C445" s="3"/>
      <c r="D445" s="86"/>
      <c r="E445" s="1751"/>
      <c r="F445" s="1751"/>
      <c r="G445" s="1751"/>
      <c r="H445" s="1751"/>
    </row>
    <row r="446" spans="1:32" s="132" customFormat="1" ht="21.75" customHeight="1">
      <c r="A446" s="141" t="s">
        <v>1957</v>
      </c>
      <c r="B446" s="3320" t="s">
        <v>3791</v>
      </c>
      <c r="C446" s="3320"/>
      <c r="D446" s="3320"/>
      <c r="E446" s="3320"/>
      <c r="F446" s="3320"/>
      <c r="G446" s="3320"/>
      <c r="H446" s="3320"/>
      <c r="I446" s="3320"/>
      <c r="J446" s="3320"/>
      <c r="K446" s="3320"/>
      <c r="L446" s="3320"/>
      <c r="M446" s="3320"/>
      <c r="N446" s="3320"/>
      <c r="O446" s="160" t="s">
        <v>1957</v>
      </c>
      <c r="P446" s="2456" t="s">
        <v>4920</v>
      </c>
      <c r="Q446" s="1148"/>
      <c r="AE446" s="466"/>
      <c r="AF446" s="466"/>
    </row>
    <row r="447" spans="1:32" s="132" customFormat="1" ht="22.5" customHeight="1">
      <c r="A447" s="141" t="s">
        <v>1959</v>
      </c>
      <c r="B447" s="3320" t="s">
        <v>3790</v>
      </c>
      <c r="C447" s="3320"/>
      <c r="D447" s="3320"/>
      <c r="E447" s="3320"/>
      <c r="F447" s="3320"/>
      <c r="G447" s="3320"/>
      <c r="H447" s="3320"/>
      <c r="I447" s="3320"/>
      <c r="J447" s="3320"/>
      <c r="K447" s="3320"/>
      <c r="L447" s="3320"/>
      <c r="M447" s="3320"/>
      <c r="N447" s="3320"/>
      <c r="O447" s="160" t="s">
        <v>1959</v>
      </c>
      <c r="P447" s="2454" t="s">
        <v>4920</v>
      </c>
      <c r="Q447" s="1754"/>
      <c r="AE447" s="466"/>
      <c r="AF447" s="466"/>
    </row>
    <row r="448" spans="1:32" s="132" customFormat="1" ht="22.5" customHeight="1">
      <c r="B448" s="1617" t="s">
        <v>1716</v>
      </c>
      <c r="C448" s="3320" t="s">
        <v>4658</v>
      </c>
      <c r="D448" s="3320"/>
      <c r="E448" s="3320"/>
      <c r="F448" s="3320"/>
      <c r="G448" s="3320"/>
      <c r="H448" s="3320"/>
      <c r="I448" s="3320"/>
      <c r="J448" s="3320"/>
      <c r="K448" s="3320"/>
      <c r="L448" s="3320"/>
      <c r="M448" s="3320"/>
      <c r="N448" s="3320"/>
      <c r="O448" s="160" t="s">
        <v>1716</v>
      </c>
      <c r="P448" s="2454" t="s">
        <v>4920</v>
      </c>
      <c r="Q448" s="1754"/>
      <c r="AE448" s="466"/>
      <c r="AF448" s="466"/>
    </row>
    <row r="449" spans="1:32" s="41" customFormat="1" ht="12" customHeight="1">
      <c r="B449" s="1617" t="s">
        <v>1717</v>
      </c>
      <c r="C449" s="35" t="s">
        <v>4659</v>
      </c>
      <c r="D449" s="1114"/>
      <c r="E449" s="1114"/>
      <c r="F449" s="1114"/>
      <c r="G449" s="1114"/>
      <c r="H449" s="1114"/>
      <c r="I449" s="1114"/>
      <c r="J449" s="1114"/>
      <c r="K449" s="1114"/>
      <c r="L449" s="1114"/>
      <c r="M449" s="1114"/>
      <c r="N449" s="1114"/>
      <c r="O449" s="463" t="s">
        <v>1717</v>
      </c>
      <c r="P449" s="2445" t="s">
        <v>4920</v>
      </c>
      <c r="Q449" s="535"/>
      <c r="AE449" s="49"/>
      <c r="AF449" s="49"/>
    </row>
    <row r="450" spans="1:32" s="132" customFormat="1" ht="33" customHeight="1">
      <c r="B450" s="477" t="s">
        <v>1718</v>
      </c>
      <c r="C450" s="3320" t="s">
        <v>4660</v>
      </c>
      <c r="D450" s="3320"/>
      <c r="E450" s="3320"/>
      <c r="F450" s="3320"/>
      <c r="G450" s="3320"/>
      <c r="H450" s="3320"/>
      <c r="I450" s="3320"/>
      <c r="J450" s="3320"/>
      <c r="K450" s="3320"/>
      <c r="L450" s="3320"/>
      <c r="M450" s="3320"/>
      <c r="N450" s="3320"/>
      <c r="O450" s="160" t="s">
        <v>1718</v>
      </c>
      <c r="P450" s="2454" t="s">
        <v>4920</v>
      </c>
      <c r="Q450" s="1754"/>
      <c r="AE450" s="466"/>
      <c r="AF450" s="466"/>
    </row>
    <row r="451" spans="1:32" s="132" customFormat="1" ht="22.5" customHeight="1">
      <c r="B451" s="477" t="s">
        <v>2336</v>
      </c>
      <c r="C451" s="3320" t="s">
        <v>4661</v>
      </c>
      <c r="D451" s="3320"/>
      <c r="E451" s="3320"/>
      <c r="F451" s="3320"/>
      <c r="G451" s="3320"/>
      <c r="H451" s="3320"/>
      <c r="I451" s="3320"/>
      <c r="J451" s="3320"/>
      <c r="K451" s="3320"/>
      <c r="L451" s="3320"/>
      <c r="M451" s="3320"/>
      <c r="N451" s="3320"/>
      <c r="O451" s="160" t="s">
        <v>2336</v>
      </c>
      <c r="P451" s="2454" t="s">
        <v>4920</v>
      </c>
      <c r="Q451" s="1754"/>
      <c r="AE451" s="466"/>
      <c r="AF451" s="466"/>
    </row>
    <row r="452" spans="1:32" s="132" customFormat="1" ht="22.5" customHeight="1">
      <c r="A452" s="141" t="s">
        <v>738</v>
      </c>
      <c r="B452" s="3320" t="s">
        <v>3792</v>
      </c>
      <c r="C452" s="3320"/>
      <c r="D452" s="3320"/>
      <c r="E452" s="3320"/>
      <c r="F452" s="3320"/>
      <c r="G452" s="3320"/>
      <c r="H452" s="3320"/>
      <c r="I452" s="3320"/>
      <c r="J452" s="3320"/>
      <c r="K452" s="3320"/>
      <c r="L452" s="3320"/>
      <c r="M452" s="3320"/>
      <c r="N452" s="3320"/>
      <c r="O452" s="160" t="s">
        <v>738</v>
      </c>
      <c r="P452" s="2454" t="s">
        <v>4920</v>
      </c>
      <c r="Q452" s="1754"/>
      <c r="AE452" s="466"/>
      <c r="AF452" s="466"/>
    </row>
    <row r="453" spans="1:32" s="132" customFormat="1" ht="22.5" customHeight="1">
      <c r="A453" s="141" t="s">
        <v>2088</v>
      </c>
      <c r="B453" s="3320" t="s">
        <v>3793</v>
      </c>
      <c r="C453" s="3320"/>
      <c r="D453" s="3320"/>
      <c r="E453" s="3320"/>
      <c r="F453" s="3320"/>
      <c r="G453" s="3320"/>
      <c r="H453" s="3320"/>
      <c r="I453" s="3320"/>
      <c r="J453" s="3320"/>
      <c r="K453" s="3320"/>
      <c r="L453" s="3320"/>
      <c r="M453" s="3320"/>
      <c r="N453" s="3320"/>
      <c r="O453" s="160" t="s">
        <v>2088</v>
      </c>
      <c r="P453" s="2454" t="s">
        <v>4920</v>
      </c>
      <c r="Q453" s="1754"/>
      <c r="AE453" s="466"/>
      <c r="AF453" s="466"/>
    </row>
    <row r="454" spans="1:32" s="132" customFormat="1" ht="21.75" customHeight="1">
      <c r="A454" s="141" t="s">
        <v>1714</v>
      </c>
      <c r="B454" s="3320" t="s">
        <v>3794</v>
      </c>
      <c r="C454" s="3320"/>
      <c r="D454" s="3320"/>
      <c r="E454" s="3320"/>
      <c r="F454" s="3320"/>
      <c r="G454" s="3320"/>
      <c r="H454" s="3320"/>
      <c r="I454" s="3320"/>
      <c r="J454" s="3320"/>
      <c r="K454" s="3320"/>
      <c r="L454" s="3320"/>
      <c r="M454" s="3320"/>
      <c r="N454" s="3320"/>
      <c r="O454" s="160" t="s">
        <v>1714</v>
      </c>
      <c r="P454" s="2454" t="s">
        <v>4920</v>
      </c>
      <c r="Q454" s="1754"/>
      <c r="AE454" s="466"/>
      <c r="AF454" s="466"/>
    </row>
    <row r="455" spans="1:32" s="414" customFormat="1" ht="21.75" customHeight="1">
      <c r="A455" s="141" t="s">
        <v>1715</v>
      </c>
      <c r="B455" s="3320" t="s">
        <v>3410</v>
      </c>
      <c r="C455" s="3320"/>
      <c r="D455" s="3320"/>
      <c r="E455" s="3320"/>
      <c r="F455" s="3320"/>
      <c r="G455" s="3320"/>
      <c r="H455" s="3320"/>
      <c r="I455" s="3320"/>
      <c r="J455" s="3320"/>
      <c r="K455" s="3320"/>
      <c r="L455" s="3320"/>
      <c r="M455" s="3320"/>
      <c r="N455" s="3320"/>
      <c r="O455" s="160" t="s">
        <v>1715</v>
      </c>
      <c r="P455" s="2457" t="s">
        <v>4920</v>
      </c>
      <c r="Q455" s="1763"/>
      <c r="AE455" s="468"/>
      <c r="AF455" s="468"/>
    </row>
    <row r="456" spans="1:32" ht="11.25" customHeight="1">
      <c r="B456" s="140" t="s">
        <v>3644</v>
      </c>
      <c r="D456" s="140"/>
      <c r="E456" s="140"/>
      <c r="F456" s="140"/>
      <c r="G456" s="140"/>
      <c r="H456" s="39"/>
      <c r="I456" s="1760"/>
      <c r="J456" s="1760"/>
      <c r="K456" s="1760"/>
      <c r="L456" s="1748"/>
      <c r="M456" s="1748"/>
      <c r="N456" s="1748"/>
      <c r="O456" s="1748"/>
      <c r="P456" s="1748"/>
      <c r="Q456" s="896"/>
    </row>
    <row r="457" spans="1:32" ht="22.5" customHeight="1">
      <c r="A457" s="3302" t="s">
        <v>4961</v>
      </c>
      <c r="B457" s="3303"/>
      <c r="C457" s="3303"/>
      <c r="D457" s="3303"/>
      <c r="E457" s="3303"/>
      <c r="F457" s="3303"/>
      <c r="G457" s="3303"/>
      <c r="H457" s="3303"/>
      <c r="I457" s="3303"/>
      <c r="J457" s="3303"/>
      <c r="K457" s="3303"/>
      <c r="L457" s="3303"/>
      <c r="M457" s="3303"/>
      <c r="N457" s="3303"/>
      <c r="O457" s="3303"/>
      <c r="P457" s="3303"/>
      <c r="Q457" s="3304"/>
      <c r="R457" s="445" t="s">
        <v>1239</v>
      </c>
      <c r="S457" s="446"/>
      <c r="U457" s="135"/>
      <c r="V457" s="135"/>
      <c r="W457" s="135"/>
      <c r="X457" s="135"/>
      <c r="Y457" s="135"/>
      <c r="Z457" s="135"/>
      <c r="AA457" s="135"/>
      <c r="AB457" s="135"/>
      <c r="AC457" s="135"/>
      <c r="AD457" s="135"/>
      <c r="AE457" s="465"/>
    </row>
    <row r="458" spans="1:32" ht="11.25" customHeight="1">
      <c r="B458" s="136" t="s">
        <v>1841</v>
      </c>
      <c r="C458" s="137"/>
      <c r="D458" s="1751"/>
      <c r="E458" s="1751"/>
      <c r="F458" s="1751"/>
      <c r="G458" s="1751"/>
      <c r="H458" s="1751"/>
      <c r="I458" s="1751"/>
      <c r="J458" s="1751"/>
      <c r="K458" s="1751"/>
      <c r="L458" s="1751"/>
      <c r="M458" s="1751"/>
      <c r="N458" s="1751"/>
      <c r="O458" s="1751"/>
      <c r="P458" s="1751"/>
      <c r="Q458" s="1751"/>
    </row>
    <row r="459" spans="1:32" ht="22.5" customHeight="1">
      <c r="A459" s="3258"/>
      <c r="B459" s="3259"/>
      <c r="C459" s="3259"/>
      <c r="D459" s="3259"/>
      <c r="E459" s="3259"/>
      <c r="F459" s="3259"/>
      <c r="G459" s="3259"/>
      <c r="H459" s="3259"/>
      <c r="I459" s="3259"/>
      <c r="J459" s="3259"/>
      <c r="K459" s="3259"/>
      <c r="L459" s="3259"/>
      <c r="M459" s="3259"/>
      <c r="N459" s="3259"/>
      <c r="O459" s="3259"/>
      <c r="P459" s="3259"/>
      <c r="Q459" s="3260"/>
    </row>
    <row r="460" spans="1:32" ht="3" customHeight="1">
      <c r="A460" s="1748"/>
      <c r="B460" s="1760"/>
      <c r="C460" s="1751"/>
      <c r="D460" s="1751"/>
      <c r="E460" s="1751"/>
      <c r="F460" s="1751"/>
      <c r="G460" s="1751"/>
      <c r="H460" s="1751"/>
      <c r="I460" s="1751"/>
      <c r="J460" s="1751"/>
      <c r="K460" s="1751"/>
      <c r="L460" s="1751"/>
      <c r="M460" s="1751"/>
      <c r="Q460" s="896"/>
    </row>
    <row r="461" spans="1:32" s="42" customFormat="1" ht="12.75" customHeight="1">
      <c r="A461" s="1745" t="s">
        <v>4456</v>
      </c>
      <c r="C461" s="9" t="s">
        <v>2680</v>
      </c>
      <c r="D461" s="57"/>
      <c r="E461" s="51"/>
      <c r="J461" s="60"/>
      <c r="M461" s="1747"/>
      <c r="N461" s="5"/>
      <c r="O461" s="131" t="s">
        <v>1842</v>
      </c>
      <c r="P461" s="3261"/>
      <c r="Q461" s="3262"/>
    </row>
    <row r="462" spans="1:32" s="147" customFormat="1" ht="12" customHeight="1">
      <c r="A462" s="620"/>
      <c r="B462" s="620" t="s">
        <v>4464</v>
      </c>
      <c r="C462" s="620"/>
      <c r="D462" s="620"/>
      <c r="E462" s="620"/>
      <c r="F462" s="620"/>
      <c r="G462" s="620"/>
      <c r="H462" s="620"/>
      <c r="I462" s="620"/>
      <c r="J462" s="620"/>
      <c r="K462" s="620"/>
      <c r="L462" s="620"/>
      <c r="M462" s="620"/>
      <c r="N462" s="620"/>
      <c r="O462" s="620"/>
      <c r="P462" s="2444" t="s">
        <v>2936</v>
      </c>
      <c r="Q462" s="534"/>
      <c r="AE462" s="467"/>
      <c r="AF462" s="467"/>
    </row>
    <row r="463" spans="1:32" s="147" customFormat="1" ht="12" customHeight="1">
      <c r="A463" s="620"/>
      <c r="B463" s="620" t="s">
        <v>4465</v>
      </c>
      <c r="C463" s="620"/>
      <c r="D463" s="620"/>
      <c r="E463" s="620"/>
      <c r="F463" s="620"/>
      <c r="G463" s="620"/>
      <c r="H463" s="620"/>
      <c r="I463" s="620"/>
      <c r="J463" s="620"/>
      <c r="K463" s="620"/>
      <c r="L463" s="620"/>
      <c r="M463" s="620"/>
      <c r="N463" s="620"/>
      <c r="O463" s="620"/>
      <c r="P463" s="2446" t="s">
        <v>4962</v>
      </c>
      <c r="Q463" s="536"/>
      <c r="AE463" s="467"/>
      <c r="AF463" s="467"/>
    </row>
    <row r="464" spans="1:32" s="42" customFormat="1" ht="12" customHeight="1" thickBot="1">
      <c r="A464" s="46" t="s">
        <v>1957</v>
      </c>
      <c r="B464" s="86" t="s">
        <v>4457</v>
      </c>
      <c r="D464" s="32"/>
      <c r="E464" s="32"/>
      <c r="F464" s="32"/>
      <c r="O464" s="463" t="s">
        <v>1957</v>
      </c>
    </row>
    <row r="465" spans="1:31" s="412" customFormat="1" ht="15" customHeight="1" thickBot="1">
      <c r="A465" s="141"/>
      <c r="B465" s="440" t="s">
        <v>1960</v>
      </c>
      <c r="C465" s="3320" t="s">
        <v>4583</v>
      </c>
      <c r="D465" s="3320"/>
      <c r="E465" s="3320"/>
      <c r="F465" s="3320"/>
      <c r="G465" s="3320"/>
      <c r="H465" s="3320"/>
      <c r="I465" s="3320"/>
      <c r="J465" s="3320"/>
      <c r="K465" s="3263" t="s">
        <v>4710</v>
      </c>
      <c r="L465" s="1654" t="s">
        <v>4459</v>
      </c>
      <c r="M465" s="1660"/>
      <c r="N465" s="1655">
        <f>ROUNDUP('Part VI-Revenues &amp; Expenses'!$O$63*0.1,0)</f>
        <v>8</v>
      </c>
      <c r="O465" s="390" t="s">
        <v>1960</v>
      </c>
      <c r="P465" s="3491" t="s">
        <v>4920</v>
      </c>
      <c r="Q465" s="3490"/>
      <c r="R465" s="1652"/>
      <c r="S465" s="1652"/>
    </row>
    <row r="466" spans="1:31" s="412" customFormat="1" ht="15" customHeight="1">
      <c r="A466" s="141"/>
      <c r="B466" s="440"/>
      <c r="C466" s="3320"/>
      <c r="D466" s="3320"/>
      <c r="E466" s="3320"/>
      <c r="F466" s="3320"/>
      <c r="G466" s="3320"/>
      <c r="H466" s="3320"/>
      <c r="I466" s="3320"/>
      <c r="J466" s="3320"/>
      <c r="K466" s="3264"/>
      <c r="L466" s="1649" t="s">
        <v>4711</v>
      </c>
      <c r="M466" s="1661"/>
      <c r="N466" s="1653">
        <f>'Part VI-Revenues &amp; Expenses'!$O$63</f>
        <v>71</v>
      </c>
      <c r="P466" s="3322"/>
      <c r="Q466" s="3321"/>
      <c r="R466" s="1652"/>
      <c r="S466" s="1652"/>
    </row>
    <row r="467" spans="1:31" s="412" customFormat="1" ht="15" customHeight="1">
      <c r="A467" s="141"/>
      <c r="B467" s="440"/>
      <c r="C467" s="3320"/>
      <c r="D467" s="3320"/>
      <c r="E467" s="3320"/>
      <c r="F467" s="3320"/>
      <c r="G467" s="3320"/>
      <c r="H467" s="3320"/>
      <c r="I467" s="3320"/>
      <c r="J467" s="3320"/>
      <c r="K467" s="1651">
        <f>'Part VI-Revenues &amp; Expenses'!$O$88</f>
        <v>0</v>
      </c>
      <c r="L467" s="1207" t="s">
        <v>4461</v>
      </c>
      <c r="M467" s="1662"/>
      <c r="N467" s="1584">
        <f>'Part VI-Revenues &amp; Expenses'!$O$67</f>
        <v>84</v>
      </c>
      <c r="P467" s="3322"/>
      <c r="Q467" s="3321"/>
    </row>
    <row r="468" spans="1:31" s="436" customFormat="1" ht="22.5" customHeight="1">
      <c r="A468" s="525"/>
      <c r="B468" s="440" t="s">
        <v>1962</v>
      </c>
      <c r="C468" s="3320" t="s">
        <v>4584</v>
      </c>
      <c r="D468" s="3320"/>
      <c r="E468" s="3320"/>
      <c r="F468" s="3320"/>
      <c r="G468" s="3320"/>
      <c r="H468" s="3320"/>
      <c r="I468" s="3320"/>
      <c r="J468" s="3320"/>
      <c r="K468" s="587"/>
      <c r="L468" s="587"/>
      <c r="M468" s="587"/>
      <c r="O468" s="390" t="s">
        <v>1962</v>
      </c>
      <c r="P468" s="2454" t="s">
        <v>2933</v>
      </c>
      <c r="Q468" s="1754"/>
    </row>
    <row r="469" spans="1:31" s="436" customFormat="1" ht="12" customHeight="1" thickBot="1">
      <c r="A469" s="525"/>
      <c r="B469" s="440" t="s">
        <v>2501</v>
      </c>
      <c r="C469" s="3320" t="s">
        <v>4585</v>
      </c>
      <c r="D469" s="3320"/>
      <c r="E469" s="3320"/>
      <c r="F469" s="3320"/>
      <c r="G469" s="3320"/>
      <c r="H469" s="3320"/>
      <c r="I469" s="587"/>
      <c r="J469" s="1114" t="s">
        <v>4462</v>
      </c>
      <c r="K469" s="1585">
        <f>'Part VI-Revenues &amp; Expenses'!$O$103</f>
        <v>84</v>
      </c>
      <c r="L469" s="1206" t="s">
        <v>4460</v>
      </c>
      <c r="M469" s="1657"/>
      <c r="N469" s="1650">
        <f>ROUNDUP(N467*0.1,0)</f>
        <v>9</v>
      </c>
      <c r="O469" s="390" t="s">
        <v>2501</v>
      </c>
      <c r="P469" s="3322" t="s">
        <v>2933</v>
      </c>
      <c r="Q469" s="3321"/>
      <c r="R469" s="1652"/>
      <c r="S469" s="1652"/>
    </row>
    <row r="470" spans="1:31" s="436" customFormat="1" ht="12" customHeight="1" thickBot="1">
      <c r="A470" s="525"/>
      <c r="B470" s="440"/>
      <c r="C470" s="3320"/>
      <c r="D470" s="3320"/>
      <c r="E470" s="3320"/>
      <c r="F470" s="3320"/>
      <c r="G470" s="3320"/>
      <c r="H470" s="3320"/>
      <c r="I470" s="587"/>
      <c r="J470" s="1114" t="s">
        <v>4463</v>
      </c>
      <c r="K470" s="1586">
        <f>IF(N467=0,"",K469/N467)</f>
        <v>1</v>
      </c>
      <c r="L470" s="1658" t="s">
        <v>4709</v>
      </c>
      <c r="M470" s="1659"/>
      <c r="N470" s="1656">
        <f>'Part VI-Revenues &amp; Expenses'!$K$67/'Part VI-Revenues &amp; Expenses'!$O$67</f>
        <v>0.38095238095238093</v>
      </c>
      <c r="O470" s="390" t="str">
        <f>IF(AND(N470&lt;0.1,P469="Yes"), "Check!","")</f>
        <v/>
      </c>
      <c r="P470" s="3486"/>
      <c r="Q470" s="3485"/>
      <c r="R470" s="1652"/>
      <c r="S470" s="1652"/>
    </row>
    <row r="471" spans="1:31" s="42" customFormat="1" ht="12" customHeight="1">
      <c r="A471" s="46" t="s">
        <v>1959</v>
      </c>
      <c r="B471" s="86" t="s">
        <v>4586</v>
      </c>
      <c r="D471" s="39"/>
      <c r="G471" s="35"/>
      <c r="M471" s="5"/>
      <c r="R471" s="376"/>
    </row>
    <row r="472" spans="1:31" s="412" customFormat="1" ht="21.75" customHeight="1">
      <c r="A472" s="141"/>
      <c r="B472" s="3320" t="s">
        <v>4587</v>
      </c>
      <c r="C472" s="3320"/>
      <c r="D472" s="3320"/>
      <c r="E472" s="3320"/>
      <c r="F472" s="3320"/>
      <c r="G472" s="3320"/>
      <c r="H472" s="3320"/>
      <c r="I472" s="3320"/>
      <c r="J472" s="3320"/>
      <c r="K472" s="3320"/>
      <c r="L472" s="3320"/>
      <c r="M472" s="3320"/>
      <c r="N472" s="3320"/>
      <c r="O472" s="160" t="s">
        <v>1959</v>
      </c>
      <c r="P472" s="2464" t="s">
        <v>4963</v>
      </c>
      <c r="Q472" s="1149"/>
      <c r="R472" s="511"/>
    </row>
    <row r="473" spans="1:31" s="42" customFormat="1" ht="11.25" customHeight="1">
      <c r="A473" s="41"/>
      <c r="B473" s="95" t="s">
        <v>3644</v>
      </c>
      <c r="C473" s="41"/>
      <c r="D473" s="47"/>
      <c r="E473" s="47"/>
      <c r="F473" s="47"/>
      <c r="G473" s="47"/>
      <c r="H473" s="35"/>
      <c r="I473" s="35"/>
      <c r="J473" s="35"/>
      <c r="K473" s="35"/>
      <c r="M473" s="45"/>
      <c r="N473" s="61"/>
      <c r="O473" s="2"/>
      <c r="P473" s="1750"/>
    </row>
    <row r="474" spans="1:31" s="42" customFormat="1" ht="21.75" customHeight="1">
      <c r="A474" s="3302" t="s">
        <v>4964</v>
      </c>
      <c r="B474" s="3303"/>
      <c r="C474" s="3303"/>
      <c r="D474" s="3303"/>
      <c r="E474" s="3303"/>
      <c r="F474" s="3303"/>
      <c r="G474" s="3303"/>
      <c r="H474" s="3303"/>
      <c r="I474" s="3303"/>
      <c r="J474" s="3303"/>
      <c r="K474" s="3303"/>
      <c r="L474" s="3303"/>
      <c r="M474" s="3303"/>
      <c r="N474" s="3303"/>
      <c r="O474" s="3303"/>
      <c r="P474" s="3303"/>
      <c r="Q474" s="3304"/>
      <c r="R474" s="1073" t="s">
        <v>1239</v>
      </c>
    </row>
    <row r="475" spans="1:31" s="42" customFormat="1" ht="10.5" customHeight="1">
      <c r="B475" s="85" t="s">
        <v>1841</v>
      </c>
      <c r="C475" s="98"/>
      <c r="D475" s="85"/>
      <c r="E475" s="99"/>
      <c r="F475" s="1751"/>
      <c r="G475" s="1751"/>
      <c r="H475" s="1751"/>
      <c r="I475" s="1751"/>
      <c r="J475" s="1751"/>
      <c r="K475" s="1751"/>
      <c r="L475" s="1751"/>
      <c r="M475" s="1751"/>
      <c r="N475" s="74"/>
      <c r="O475" s="70"/>
      <c r="P475" s="1747"/>
      <c r="Q475" s="426"/>
    </row>
    <row r="476" spans="1:31" s="42" customFormat="1" ht="11.25" customHeight="1">
      <c r="A476" s="3258"/>
      <c r="B476" s="3259"/>
      <c r="C476" s="3259"/>
      <c r="D476" s="3259"/>
      <c r="E476" s="3259"/>
      <c r="F476" s="3259"/>
      <c r="G476" s="3259"/>
      <c r="H476" s="3259"/>
      <c r="I476" s="3259"/>
      <c r="J476" s="3259"/>
      <c r="K476" s="3259"/>
      <c r="L476" s="3259"/>
      <c r="M476" s="3259"/>
      <c r="N476" s="3259"/>
      <c r="O476" s="3259"/>
      <c r="P476" s="3259"/>
      <c r="Q476" s="3260"/>
    </row>
    <row r="477" spans="1:31" ht="3" customHeight="1">
      <c r="A477" s="1748"/>
      <c r="B477" s="1760"/>
      <c r="C477" s="1751"/>
      <c r="D477" s="1751"/>
      <c r="E477" s="1751"/>
      <c r="F477" s="1751"/>
      <c r="G477" s="1751"/>
      <c r="H477" s="1751"/>
      <c r="I477" s="1751"/>
      <c r="J477" s="1751"/>
      <c r="K477" s="1751"/>
      <c r="L477" s="1751"/>
      <c r="M477" s="1751"/>
      <c r="N477" s="1751"/>
      <c r="O477" s="1751"/>
      <c r="P477" s="1751"/>
      <c r="Q477" s="1748"/>
    </row>
    <row r="478" spans="1:31" ht="14.1" customHeight="1">
      <c r="A478" s="1745" t="s">
        <v>4458</v>
      </c>
      <c r="B478" s="3"/>
      <c r="C478" s="3" t="s">
        <v>2633</v>
      </c>
      <c r="D478" s="86"/>
      <c r="E478" s="1751"/>
      <c r="F478" s="1751"/>
      <c r="G478" s="1751"/>
      <c r="H478" s="1751"/>
      <c r="I478" s="1751"/>
      <c r="J478" s="1751"/>
      <c r="K478" s="1751"/>
      <c r="L478" s="1751"/>
      <c r="M478" s="1751"/>
      <c r="O478" s="131" t="s">
        <v>1842</v>
      </c>
      <c r="P478" s="3261"/>
      <c r="Q478" s="3262"/>
    </row>
    <row r="479" spans="1:31" ht="11.25" customHeight="1">
      <c r="A479" s="1745"/>
      <c r="B479" s="140" t="s">
        <v>3644</v>
      </c>
      <c r="D479" s="140"/>
      <c r="E479" s="140"/>
      <c r="F479" s="140"/>
      <c r="G479" s="140"/>
      <c r="H479" s="39"/>
      <c r="I479" s="1760"/>
      <c r="J479" s="1760"/>
      <c r="K479" s="1760"/>
      <c r="L479" s="1748"/>
      <c r="M479" s="1748"/>
      <c r="N479" s="1748"/>
      <c r="O479" s="1748"/>
      <c r="P479" s="1748"/>
      <c r="Q479" s="896"/>
    </row>
    <row r="480" spans="1:31" ht="22.5" customHeight="1">
      <c r="A480" s="3302" t="s">
        <v>4965</v>
      </c>
      <c r="B480" s="3303"/>
      <c r="C480" s="3303"/>
      <c r="D480" s="3303"/>
      <c r="E480" s="3303"/>
      <c r="F480" s="3303"/>
      <c r="G480" s="3303"/>
      <c r="H480" s="3303"/>
      <c r="I480" s="3303"/>
      <c r="J480" s="3303"/>
      <c r="K480" s="3303"/>
      <c r="L480" s="3303"/>
      <c r="M480" s="3303"/>
      <c r="N480" s="3303"/>
      <c r="O480" s="3303"/>
      <c r="P480" s="3303"/>
      <c r="Q480" s="3304"/>
      <c r="R480" s="445" t="s">
        <v>1239</v>
      </c>
      <c r="S480" s="446"/>
      <c r="U480" s="135"/>
      <c r="V480" s="135"/>
      <c r="W480" s="135"/>
      <c r="X480" s="135"/>
      <c r="Y480" s="135"/>
      <c r="Z480" s="135"/>
      <c r="AA480" s="135"/>
      <c r="AB480" s="135"/>
      <c r="AC480" s="135"/>
      <c r="AD480" s="135"/>
      <c r="AE480" s="465"/>
    </row>
    <row r="481" spans="1:32" ht="11.25" customHeight="1">
      <c r="B481" s="136" t="s">
        <v>1841</v>
      </c>
      <c r="C481" s="137"/>
      <c r="D481" s="1751"/>
      <c r="E481" s="1751"/>
      <c r="F481" s="1751"/>
      <c r="G481" s="1751"/>
      <c r="H481" s="1751"/>
      <c r="I481" s="1751"/>
      <c r="J481" s="1751"/>
      <c r="K481" s="1751"/>
      <c r="L481" s="1751"/>
      <c r="M481" s="1751"/>
      <c r="N481" s="1751"/>
      <c r="O481" s="1751"/>
      <c r="P481" s="1751"/>
      <c r="Q481" s="1751"/>
    </row>
    <row r="482" spans="1:32" ht="22.5" customHeight="1">
      <c r="A482" s="3258"/>
      <c r="B482" s="3259"/>
      <c r="C482" s="3259"/>
      <c r="D482" s="3259"/>
      <c r="E482" s="3259"/>
      <c r="F482" s="3259"/>
      <c r="G482" s="3259"/>
      <c r="H482" s="3259"/>
      <c r="I482" s="3259"/>
      <c r="J482" s="3259"/>
      <c r="K482" s="3259"/>
      <c r="L482" s="3259"/>
      <c r="M482" s="3259"/>
      <c r="N482" s="3259"/>
      <c r="O482" s="3259"/>
      <c r="P482" s="3259"/>
      <c r="Q482" s="3260"/>
    </row>
    <row r="483" spans="1:32" ht="3" customHeight="1">
      <c r="A483" s="1748"/>
      <c r="B483" s="1760"/>
      <c r="C483" s="1751"/>
      <c r="D483" s="1751"/>
      <c r="E483" s="1751"/>
      <c r="F483" s="1751"/>
      <c r="G483" s="1751"/>
      <c r="H483" s="1751"/>
      <c r="I483" s="1751"/>
      <c r="J483" s="1751"/>
      <c r="K483" s="1751"/>
      <c r="L483" s="1751"/>
      <c r="M483" s="1751"/>
      <c r="N483" s="1751"/>
      <c r="O483" s="1751"/>
      <c r="P483" s="1751"/>
      <c r="Q483" s="1748"/>
    </row>
    <row r="484" spans="1:32" ht="3" customHeight="1">
      <c r="A484" s="1748"/>
      <c r="B484" s="1760"/>
      <c r="C484" s="1751"/>
      <c r="D484" s="1751"/>
      <c r="E484" s="1751"/>
      <c r="F484" s="1751"/>
      <c r="G484" s="1751"/>
      <c r="H484" s="1751"/>
      <c r="I484" s="1751"/>
      <c r="J484" s="1751"/>
      <c r="K484" s="1751"/>
      <c r="L484" s="1751"/>
      <c r="M484" s="1751"/>
      <c r="N484" s="1751"/>
      <c r="O484" s="1751"/>
      <c r="P484" s="1751"/>
      <c r="Q484" s="1748"/>
    </row>
    <row r="485" spans="1:32" ht="14.1" customHeight="1">
      <c r="A485" s="1745" t="s">
        <v>4466</v>
      </c>
      <c r="B485" s="3"/>
      <c r="C485" s="3" t="s">
        <v>4635</v>
      </c>
      <c r="D485" s="86"/>
      <c r="E485" s="1751"/>
      <c r="F485" s="1751"/>
      <c r="G485" s="1751"/>
      <c r="H485" s="1751"/>
      <c r="I485" s="1751"/>
      <c r="J485" s="1751"/>
      <c r="K485" s="1751"/>
      <c r="L485" s="1751"/>
      <c r="M485" s="1751"/>
      <c r="O485" s="131" t="s">
        <v>1842</v>
      </c>
      <c r="P485" s="3261"/>
      <c r="Q485" s="3262"/>
    </row>
    <row r="486" spans="1:32" s="102" customFormat="1" ht="11.25" customHeight="1">
      <c r="B486" s="179" t="s">
        <v>4467</v>
      </c>
      <c r="D486" s="60"/>
      <c r="E486" s="60"/>
      <c r="F486" s="43"/>
      <c r="G486" s="26"/>
      <c r="L486" s="376"/>
      <c r="M486" s="376"/>
      <c r="N486" s="376"/>
      <c r="O486" s="376"/>
      <c r="P486" s="376"/>
      <c r="Q486" s="376"/>
      <c r="R486" s="376"/>
      <c r="T486" s="1069"/>
      <c r="U486" s="1069"/>
    </row>
    <row r="487" spans="1:32" s="102" customFormat="1" ht="10.5" customHeight="1">
      <c r="A487" s="138"/>
      <c r="B487" s="39" t="s">
        <v>4588</v>
      </c>
      <c r="D487" s="60"/>
      <c r="E487" s="60"/>
      <c r="F487" s="43"/>
      <c r="G487" s="26"/>
      <c r="K487" s="463"/>
      <c r="M487" s="6"/>
      <c r="N487" s="463"/>
      <c r="P487" s="2447"/>
      <c r="Q487" s="533"/>
      <c r="R487" s="389"/>
      <c r="T487" s="1069"/>
      <c r="U487" s="1069"/>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0.199999999999999">
      <c r="B501" s="1043"/>
      <c r="C501" s="1042" t="s">
        <v>1630</v>
      </c>
      <c r="D501" s="1042"/>
      <c r="E501" s="1042"/>
      <c r="F501" s="1042"/>
      <c r="G501" s="1042"/>
      <c r="H501" s="1042"/>
      <c r="I501" s="1042"/>
      <c r="J501" s="1042" t="s">
        <v>1001</v>
      </c>
      <c r="K501" s="1042"/>
      <c r="L501" s="1043"/>
      <c r="M501" s="1043"/>
      <c r="N501" s="1044"/>
      <c r="O501" s="1043" t="s">
        <v>2828</v>
      </c>
      <c r="P501" s="1045"/>
      <c r="AE501" s="438"/>
      <c r="AF501" s="438"/>
    </row>
    <row r="502" spans="1:32" s="431" customFormat="1" ht="10.199999999999999">
      <c r="B502" s="1043"/>
      <c r="C502" s="1043" t="s">
        <v>2063</v>
      </c>
      <c r="D502" s="1043"/>
      <c r="E502" s="1043"/>
      <c r="F502" s="1043"/>
      <c r="G502" s="1043"/>
      <c r="H502" s="1043"/>
      <c r="I502" s="1043"/>
      <c r="J502" s="1043" t="s">
        <v>1749</v>
      </c>
      <c r="K502" s="1043"/>
      <c r="L502" s="1043"/>
      <c r="M502" s="1043"/>
      <c r="N502" s="1044"/>
      <c r="O502" s="1043" t="s">
        <v>3707</v>
      </c>
      <c r="P502" s="1045"/>
      <c r="AE502" s="438"/>
      <c r="AF502" s="438"/>
    </row>
    <row r="503" spans="1:32" s="431" customFormat="1" ht="10.199999999999999">
      <c r="B503" s="1043"/>
      <c r="C503" s="1042" t="s">
        <v>2511</v>
      </c>
      <c r="D503" s="1042"/>
      <c r="E503" s="1042"/>
      <c r="F503" s="1042"/>
      <c r="G503" s="1042"/>
      <c r="H503" s="1042"/>
      <c r="I503" s="1042"/>
      <c r="J503" s="1587" t="s">
        <v>1703</v>
      </c>
      <c r="K503" s="1042"/>
      <c r="L503" s="1043"/>
      <c r="M503" s="1043"/>
      <c r="N503" s="1044"/>
      <c r="O503" s="1043" t="s">
        <v>3708</v>
      </c>
      <c r="P503" s="1045"/>
      <c r="AE503" s="438"/>
      <c r="AF503" s="438"/>
    </row>
    <row r="504" spans="1:32" s="431" customFormat="1" ht="10.199999999999999">
      <c r="B504" s="1043"/>
      <c r="C504" s="1042" t="s">
        <v>2064</v>
      </c>
      <c r="D504" s="1042"/>
      <c r="E504" s="1042"/>
      <c r="F504" s="1042"/>
      <c r="G504" s="1042"/>
      <c r="H504" s="1042"/>
      <c r="I504" s="1042"/>
      <c r="J504" s="1587" t="s">
        <v>227</v>
      </c>
      <c r="K504" s="1042"/>
      <c r="L504" s="1043"/>
      <c r="M504" s="1043"/>
      <c r="N504" s="1044"/>
      <c r="O504" s="1043" t="s">
        <v>3709</v>
      </c>
      <c r="P504" s="1045"/>
      <c r="AE504" s="438"/>
      <c r="AF504" s="438"/>
    </row>
    <row r="505" spans="1:32" s="431" customFormat="1" ht="10.199999999999999">
      <c r="B505" s="1043"/>
      <c r="C505" s="1042" t="s">
        <v>2065</v>
      </c>
      <c r="D505" s="1042"/>
      <c r="E505" s="1042"/>
      <c r="F505" s="1042"/>
      <c r="G505" s="1042"/>
      <c r="H505" s="1042"/>
      <c r="I505" s="1042"/>
      <c r="J505" s="1043" t="s">
        <v>1171</v>
      </c>
      <c r="K505" s="1042"/>
      <c r="L505" s="1043"/>
      <c r="M505" s="1043"/>
      <c r="N505" s="1044"/>
      <c r="O505" s="1043" t="s">
        <v>3710</v>
      </c>
      <c r="P505" s="1045"/>
      <c r="AE505" s="438"/>
      <c r="AF505" s="438"/>
    </row>
    <row r="506" spans="1:32" s="431" customFormat="1" ht="10.199999999999999">
      <c r="B506" s="1043"/>
      <c r="C506" s="1050" t="s">
        <v>2066</v>
      </c>
      <c r="D506" s="1042"/>
      <c r="E506" s="1042"/>
      <c r="F506" s="1042"/>
      <c r="G506" s="1042"/>
      <c r="H506" s="1042"/>
      <c r="I506" s="1042"/>
      <c r="J506" s="1588" t="s">
        <v>2078</v>
      </c>
      <c r="K506" s="1042"/>
      <c r="L506" s="1043"/>
      <c r="M506" s="1043"/>
      <c r="N506" s="1044"/>
      <c r="O506" s="1043" t="s">
        <v>3736</v>
      </c>
      <c r="P506" s="1045"/>
      <c r="AE506" s="438"/>
      <c r="AF506" s="438"/>
    </row>
    <row r="507" spans="1:32" s="431" customFormat="1" ht="10.199999999999999">
      <c r="B507" s="1043"/>
      <c r="C507" s="1050" t="s">
        <v>2067</v>
      </c>
      <c r="D507" s="1042"/>
      <c r="E507" s="1042"/>
      <c r="F507" s="1042"/>
      <c r="G507" s="1042"/>
      <c r="H507" s="1042"/>
      <c r="I507" s="1042"/>
      <c r="J507" s="1587" t="s">
        <v>1642</v>
      </c>
      <c r="K507" s="1042"/>
      <c r="L507" s="1043"/>
      <c r="M507" s="1043"/>
      <c r="N507" s="1044"/>
      <c r="O507" s="1043" t="s">
        <v>3711</v>
      </c>
      <c r="P507" s="1045"/>
      <c r="AE507" s="438"/>
      <c r="AF507" s="438"/>
    </row>
    <row r="508" spans="1:32" s="431" customFormat="1" ht="10.199999999999999">
      <c r="B508" s="1043"/>
      <c r="C508" s="1050"/>
      <c r="D508" s="1042"/>
      <c r="E508" s="1042"/>
      <c r="F508" s="1042"/>
      <c r="G508" s="1042"/>
      <c r="H508" s="1042"/>
      <c r="I508" s="1042"/>
      <c r="J508" s="1587" t="s">
        <v>1178</v>
      </c>
      <c r="K508" s="1042"/>
      <c r="L508" s="1043"/>
      <c r="M508" s="1043"/>
      <c r="N508" s="1044"/>
      <c r="O508" s="1043" t="s">
        <v>3712</v>
      </c>
      <c r="P508" s="1045"/>
      <c r="AE508" s="438"/>
      <c r="AF508" s="438"/>
    </row>
    <row r="509" spans="1:32" s="431" customFormat="1" ht="10.199999999999999">
      <c r="B509" s="1043"/>
      <c r="C509" s="1043" t="s">
        <v>1749</v>
      </c>
      <c r="D509" s="1042"/>
      <c r="E509" s="1042"/>
      <c r="F509" s="1042"/>
      <c r="G509" s="1042"/>
      <c r="H509" s="1042"/>
      <c r="I509" s="1042"/>
      <c r="J509" s="1587" t="s">
        <v>1639</v>
      </c>
      <c r="K509" s="1042"/>
      <c r="L509" s="1043"/>
      <c r="M509" s="1043"/>
      <c r="N509" s="1044"/>
      <c r="O509" s="1043" t="s">
        <v>3713</v>
      </c>
      <c r="P509" s="1045"/>
      <c r="AE509" s="438"/>
      <c r="AF509" s="438"/>
    </row>
    <row r="510" spans="1:32" s="431" customFormat="1" ht="10.199999999999999">
      <c r="B510" s="1043"/>
      <c r="C510" s="1046" t="s">
        <v>1375</v>
      </c>
      <c r="D510" s="1042"/>
      <c r="E510" s="1042"/>
      <c r="F510" s="1042"/>
      <c r="G510" s="1042"/>
      <c r="H510" s="1042"/>
      <c r="I510" s="1042"/>
      <c r="J510" s="1587" t="s">
        <v>2079</v>
      </c>
      <c r="K510" s="1042"/>
      <c r="L510" s="1043"/>
      <c r="M510" s="1043"/>
      <c r="N510" s="1044"/>
      <c r="O510" s="1043" t="s">
        <v>3714</v>
      </c>
      <c r="P510" s="1045"/>
      <c r="AE510" s="438"/>
      <c r="AF510" s="438"/>
    </row>
    <row r="511" spans="1:32" s="431" customFormat="1" ht="10.199999999999999">
      <c r="B511" s="1043"/>
      <c r="C511" s="1046" t="s">
        <v>1376</v>
      </c>
      <c r="D511" s="1042"/>
      <c r="E511" s="1042"/>
      <c r="F511" s="1042"/>
      <c r="G511" s="1042"/>
      <c r="H511" s="1042"/>
      <c r="I511" s="1042"/>
      <c r="J511" s="1587" t="s">
        <v>1632</v>
      </c>
      <c r="K511" s="1042"/>
      <c r="L511" s="1043"/>
      <c r="M511" s="1043"/>
      <c r="N511" s="1044"/>
      <c r="O511" s="1045"/>
      <c r="P511" s="1045"/>
      <c r="AE511" s="438"/>
      <c r="AF511" s="438"/>
    </row>
    <row r="512" spans="1:32" s="431" customFormat="1" ht="10.199999999999999">
      <c r="B512" s="1043"/>
      <c r="C512" s="1589" t="s">
        <v>2106</v>
      </c>
      <c r="D512" s="1042"/>
      <c r="E512" s="1042"/>
      <c r="F512" s="1042"/>
      <c r="G512" s="1042"/>
      <c r="H512" s="1042"/>
      <c r="I512" s="1042"/>
      <c r="J512" s="1587" t="s">
        <v>1179</v>
      </c>
      <c r="K512" s="1042"/>
      <c r="L512" s="1043"/>
      <c r="M512" s="1043"/>
      <c r="N512" s="1044"/>
      <c r="O512" s="1045"/>
      <c r="P512" s="1045"/>
      <c r="AE512" s="438"/>
      <c r="AF512" s="438"/>
    </row>
    <row r="513" spans="2:32" s="431" customFormat="1" ht="10.199999999999999">
      <c r="B513" s="1043"/>
      <c r="C513" s="1589" t="s">
        <v>1372</v>
      </c>
      <c r="D513" s="1042"/>
      <c r="E513" s="1042"/>
      <c r="F513" s="1042"/>
      <c r="G513" s="1042"/>
      <c r="H513" s="1042"/>
      <c r="I513" s="1042"/>
      <c r="J513" s="1587" t="s">
        <v>581</v>
      </c>
      <c r="K513" s="1042"/>
      <c r="L513" s="1043"/>
      <c r="M513" s="1043"/>
      <c r="N513" s="1044"/>
      <c r="O513" s="1045"/>
      <c r="P513" s="1045"/>
      <c r="AE513" s="438"/>
      <c r="AF513" s="438"/>
    </row>
    <row r="514" spans="2:32" s="431" customFormat="1" ht="10.199999999999999">
      <c r="B514" s="1043"/>
      <c r="C514" s="1589" t="s">
        <v>1373</v>
      </c>
      <c r="D514" s="1042"/>
      <c r="E514" s="1042"/>
      <c r="F514" s="1042"/>
      <c r="G514" s="1042"/>
      <c r="H514" s="1042"/>
      <c r="I514" s="1042"/>
      <c r="J514" s="1587" t="s">
        <v>1638</v>
      </c>
      <c r="K514" s="1042"/>
      <c r="L514" s="1043"/>
      <c r="M514" s="1043"/>
      <c r="N514" s="1044"/>
      <c r="O514" s="1045"/>
      <c r="P514" s="1045"/>
      <c r="AE514" s="438"/>
      <c r="AF514" s="438"/>
    </row>
    <row r="515" spans="2:32" s="431" customFormat="1" ht="10.199999999999999">
      <c r="B515" s="1043"/>
      <c r="C515" s="1046" t="s">
        <v>2101</v>
      </c>
      <c r="D515" s="1042"/>
      <c r="E515" s="1042"/>
      <c r="F515" s="1042"/>
      <c r="G515" s="1042"/>
      <c r="H515" s="1042"/>
      <c r="I515" s="1042"/>
      <c r="J515" s="1587" t="s">
        <v>1173</v>
      </c>
      <c r="K515" s="1042"/>
      <c r="L515" s="1043"/>
      <c r="M515" s="1043"/>
      <c r="N515" s="1044"/>
      <c r="O515" s="1045"/>
      <c r="P515" s="1045"/>
      <c r="AE515" s="438"/>
      <c r="AF515" s="438"/>
    </row>
    <row r="516" spans="2:32" s="431" customFormat="1" ht="10.199999999999999">
      <c r="B516" s="1043"/>
      <c r="C516" s="1046" t="s">
        <v>2102</v>
      </c>
      <c r="D516" s="1042"/>
      <c r="E516" s="1042"/>
      <c r="F516" s="1042"/>
      <c r="G516" s="1042"/>
      <c r="H516" s="1042"/>
      <c r="I516" s="1042"/>
      <c r="J516" s="1587" t="s">
        <v>1172</v>
      </c>
      <c r="K516" s="1043"/>
      <c r="L516" s="1043"/>
      <c r="M516" s="1043"/>
      <c r="N516" s="1044"/>
      <c r="O516" s="1045"/>
      <c r="P516" s="1045"/>
      <c r="AE516" s="438"/>
      <c r="AF516" s="438"/>
    </row>
    <row r="517" spans="2:32" s="431" customFormat="1" ht="10.199999999999999">
      <c r="B517" s="1043"/>
      <c r="C517" s="1046" t="s">
        <v>2103</v>
      </c>
      <c r="D517" s="1043"/>
      <c r="E517" s="1043"/>
      <c r="F517" s="1043"/>
      <c r="G517" s="1043"/>
      <c r="H517" s="1043"/>
      <c r="I517" s="1043"/>
      <c r="J517" s="1587" t="s">
        <v>1704</v>
      </c>
      <c r="K517" s="1043"/>
      <c r="L517" s="1043"/>
      <c r="M517" s="1043"/>
      <c r="N517" s="1044"/>
      <c r="O517" s="1045"/>
      <c r="P517" s="1045"/>
      <c r="AE517" s="438"/>
      <c r="AF517" s="438"/>
    </row>
    <row r="518" spans="2:32" s="431" customFormat="1" ht="10.199999999999999">
      <c r="B518" s="1043"/>
      <c r="C518" s="1046" t="s">
        <v>2104</v>
      </c>
      <c r="D518" s="1043"/>
      <c r="E518" s="1043"/>
      <c r="F518" s="1043"/>
      <c r="G518" s="1043"/>
      <c r="H518" s="1043"/>
      <c r="I518" s="1043"/>
      <c r="J518" s="1587" t="s">
        <v>1641</v>
      </c>
      <c r="K518" s="1043"/>
      <c r="L518" s="1043"/>
      <c r="M518" s="1043"/>
      <c r="N518" s="1044"/>
      <c r="O518" s="1045"/>
      <c r="P518" s="1045"/>
      <c r="AE518" s="438"/>
      <c r="AF518" s="438"/>
    </row>
    <row r="519" spans="2:32" s="431" customFormat="1" ht="10.199999999999999">
      <c r="B519" s="1043"/>
      <c r="C519" s="1046" t="s">
        <v>2105</v>
      </c>
      <c r="D519" s="1043"/>
      <c r="E519" s="1043"/>
      <c r="F519" s="1043"/>
      <c r="G519" s="1043"/>
      <c r="H519" s="1043"/>
      <c r="I519" s="1043"/>
      <c r="J519" s="1587" t="s">
        <v>1633</v>
      </c>
      <c r="K519" s="1043"/>
      <c r="L519" s="1043"/>
      <c r="M519" s="1043"/>
      <c r="N519" s="1044"/>
      <c r="O519" s="1045"/>
      <c r="P519" s="1045"/>
      <c r="AE519" s="438"/>
      <c r="AF519" s="438"/>
    </row>
    <row r="520" spans="2:32" s="431" customFormat="1" ht="10.199999999999999">
      <c r="B520" s="1043"/>
      <c r="C520" s="1046" t="s">
        <v>1374</v>
      </c>
      <c r="D520" s="1043"/>
      <c r="E520" s="1043"/>
      <c r="F520" s="1043"/>
      <c r="G520" s="1043"/>
      <c r="H520" s="1043"/>
      <c r="I520" s="1043"/>
      <c r="J520" s="1587" t="s">
        <v>2077</v>
      </c>
      <c r="K520" s="1043"/>
      <c r="L520" s="1043"/>
      <c r="M520" s="1043"/>
      <c r="N520" s="1044"/>
      <c r="O520" s="1045"/>
      <c r="P520" s="1045"/>
      <c r="AE520" s="438"/>
      <c r="AF520" s="438"/>
    </row>
    <row r="521" spans="2:32" s="431" customFormat="1" ht="10.199999999999999">
      <c r="B521" s="1043"/>
      <c r="C521" s="1046" t="s">
        <v>2253</v>
      </c>
      <c r="D521" s="1043"/>
      <c r="E521" s="1043"/>
      <c r="F521" s="1043"/>
      <c r="G521" s="1043"/>
      <c r="H521" s="1043"/>
      <c r="I521" s="1043"/>
      <c r="J521" s="1043"/>
      <c r="K521" s="1043"/>
      <c r="L521" s="1043"/>
      <c r="M521" s="1043"/>
      <c r="N521" s="1044"/>
      <c r="O521" s="1045"/>
      <c r="P521" s="1045"/>
      <c r="AE521" s="438"/>
      <c r="AF521" s="438"/>
    </row>
    <row r="522" spans="2:32" s="431" customFormat="1" ht="10.199999999999999">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0.199999999999999">
      <c r="B523" s="1042"/>
      <c r="C523" s="1048" t="s">
        <v>1570</v>
      </c>
      <c r="D523" s="1042"/>
      <c r="E523" s="1042"/>
      <c r="F523" s="1042"/>
      <c r="G523" s="1042"/>
      <c r="H523" s="1042"/>
      <c r="I523" s="1042"/>
      <c r="J523" s="1048" t="s">
        <v>3666</v>
      </c>
      <c r="K523" s="1042"/>
      <c r="L523" s="1042"/>
      <c r="M523" s="1042"/>
      <c r="N523" s="1042"/>
      <c r="O523" s="1045"/>
      <c r="P523" s="1042"/>
      <c r="AE523" s="415"/>
      <c r="AF523" s="415"/>
    </row>
    <row r="524" spans="2:32" s="54" customFormat="1" ht="10.199999999999999">
      <c r="B524" s="1042"/>
      <c r="C524" s="1042" t="s">
        <v>1749</v>
      </c>
      <c r="D524" s="1042"/>
      <c r="E524" s="1042"/>
      <c r="F524" s="1042"/>
      <c r="G524" s="1042"/>
      <c r="H524" s="1042"/>
      <c r="I524" s="1042"/>
      <c r="J524" s="1042" t="s">
        <v>4440</v>
      </c>
      <c r="K524" s="1042"/>
      <c r="L524" s="1042"/>
      <c r="M524" s="1042"/>
      <c r="N524" s="1042"/>
      <c r="O524" s="1042"/>
      <c r="P524" s="1042"/>
      <c r="AE524" s="415"/>
      <c r="AF524" s="415"/>
    </row>
    <row r="525" spans="2:32" s="54" customFormat="1" ht="10.199999999999999">
      <c r="B525" s="1042"/>
      <c r="C525" s="1042" t="s">
        <v>2063</v>
      </c>
      <c r="D525" s="1042"/>
      <c r="E525" s="1043"/>
      <c r="F525" s="1043"/>
      <c r="G525" s="1043"/>
      <c r="H525" s="1043"/>
      <c r="I525" s="1043"/>
      <c r="J525" s="1043" t="s">
        <v>3659</v>
      </c>
      <c r="K525" s="1043"/>
      <c r="L525" s="1043"/>
      <c r="M525" s="1043"/>
      <c r="N525" s="1042"/>
      <c r="O525" s="1042"/>
      <c r="P525" s="1042"/>
      <c r="AE525" s="415"/>
      <c r="AF525" s="415"/>
    </row>
    <row r="526" spans="2:32" s="54" customFormat="1" ht="10.199999999999999">
      <c r="B526" s="1042"/>
      <c r="C526" s="1042" t="s">
        <v>2511</v>
      </c>
      <c r="D526" s="1043"/>
      <c r="E526" s="1043"/>
      <c r="F526" s="1043"/>
      <c r="G526" s="1043"/>
      <c r="H526" s="1042"/>
      <c r="I526" s="1043"/>
      <c r="J526" s="1043" t="s">
        <v>3660</v>
      </c>
      <c r="K526" s="1043"/>
      <c r="L526" s="1043"/>
      <c r="M526" s="1043"/>
      <c r="N526" s="1042"/>
      <c r="O526" s="1042"/>
      <c r="P526" s="1042"/>
      <c r="AE526" s="415"/>
      <c r="AF526" s="415"/>
    </row>
    <row r="527" spans="2:32" s="54" customFormat="1" ht="10.199999999999999">
      <c r="B527" s="1042"/>
      <c r="C527" s="1042" t="s">
        <v>2064</v>
      </c>
      <c r="D527" s="1043"/>
      <c r="E527" s="1043"/>
      <c r="F527" s="1043"/>
      <c r="G527" s="1043"/>
      <c r="H527" s="1043"/>
      <c r="I527" s="1043"/>
      <c r="J527" s="1043" t="s">
        <v>4438</v>
      </c>
      <c r="K527" s="1043"/>
      <c r="L527" s="1043"/>
      <c r="M527" s="1043"/>
      <c r="N527" s="1042"/>
      <c r="O527" s="1042"/>
      <c r="P527" s="1042"/>
      <c r="AE527" s="415"/>
      <c r="AF527" s="415"/>
    </row>
    <row r="528" spans="2:32" s="54" customFormat="1" ht="10.199999999999999">
      <c r="B528" s="1042"/>
      <c r="C528" s="1042" t="s">
        <v>1631</v>
      </c>
      <c r="D528" s="1043"/>
      <c r="E528" s="1043"/>
      <c r="F528" s="1043"/>
      <c r="G528" s="1043"/>
      <c r="H528" s="1042"/>
      <c r="I528" s="1043"/>
      <c r="J528" s="1042" t="s">
        <v>3822</v>
      </c>
      <c r="K528" s="1043"/>
      <c r="L528" s="1043"/>
      <c r="M528" s="1043"/>
      <c r="N528" s="1042"/>
      <c r="O528" s="1042"/>
      <c r="P528" s="1042"/>
      <c r="AE528" s="415"/>
      <c r="AF528" s="415"/>
    </row>
    <row r="529" spans="2:32" s="54" customFormat="1" ht="10.199999999999999">
      <c r="B529" s="1042"/>
      <c r="C529" s="1050" t="s">
        <v>1985</v>
      </c>
      <c r="D529" s="1043"/>
      <c r="E529" s="1043"/>
      <c r="F529" s="1043"/>
      <c r="G529" s="1043"/>
      <c r="H529" s="1042"/>
      <c r="I529" s="1043"/>
      <c r="J529" s="1043" t="s">
        <v>4439</v>
      </c>
      <c r="K529" s="1043"/>
      <c r="L529" s="1043"/>
      <c r="M529" s="1043"/>
      <c r="N529" s="1042"/>
      <c r="O529" s="1042"/>
      <c r="P529" s="1042"/>
      <c r="AE529" s="415"/>
      <c r="AF529" s="415"/>
    </row>
    <row r="530" spans="2:32" s="54" customFormat="1" ht="10.199999999999999">
      <c r="B530" s="1042"/>
      <c r="C530" s="1042" t="s">
        <v>227</v>
      </c>
      <c r="D530" s="1043"/>
      <c r="E530" s="1043"/>
      <c r="F530" s="1043"/>
      <c r="G530" s="1043"/>
      <c r="H530" s="1042"/>
      <c r="I530" s="1043"/>
      <c r="J530" s="1043" t="s">
        <v>3823</v>
      </c>
      <c r="K530" s="1043"/>
      <c r="L530" s="1043"/>
      <c r="M530" s="1043"/>
      <c r="N530" s="1042"/>
      <c r="O530" s="1042"/>
      <c r="P530" s="1042"/>
      <c r="AE530" s="415"/>
      <c r="AF530" s="415"/>
    </row>
    <row r="531" spans="2:32" s="54" customFormat="1" ht="10.199999999999999">
      <c r="B531" s="1042"/>
      <c r="C531" s="1042" t="s">
        <v>1632</v>
      </c>
      <c r="D531" s="1043"/>
      <c r="E531" s="1043"/>
      <c r="F531" s="1043"/>
      <c r="G531" s="1043"/>
      <c r="H531" s="1042"/>
      <c r="I531" s="1043"/>
      <c r="J531" s="1043"/>
      <c r="K531" s="1043"/>
      <c r="L531" s="1043"/>
      <c r="M531" s="1043"/>
      <c r="N531" s="1042"/>
      <c r="O531" s="1042"/>
      <c r="P531" s="1042"/>
      <c r="AE531" s="415"/>
      <c r="AF531" s="415"/>
    </row>
    <row r="532" spans="2:32" s="54" customFormat="1" ht="10.199999999999999">
      <c r="B532" s="1042"/>
      <c r="C532" s="1042" t="s">
        <v>1633</v>
      </c>
      <c r="D532" s="1043"/>
      <c r="E532" s="1043"/>
      <c r="F532" s="1043"/>
      <c r="G532" s="1043"/>
      <c r="H532" s="1042"/>
      <c r="I532" s="1043"/>
      <c r="J532" s="1043"/>
      <c r="K532" s="1043"/>
      <c r="L532" s="1043"/>
      <c r="M532" s="1043"/>
      <c r="N532" s="1042"/>
      <c r="O532" s="1042"/>
      <c r="P532" s="1042"/>
      <c r="AE532" s="415"/>
      <c r="AF532" s="415"/>
    </row>
    <row r="533" spans="2:32" s="54" customFormat="1" ht="10.199999999999999">
      <c r="B533" s="1042"/>
      <c r="C533" s="1042" t="s">
        <v>2472</v>
      </c>
      <c r="D533" s="1043"/>
      <c r="E533" s="1043"/>
      <c r="F533" s="1043"/>
      <c r="G533" s="1043"/>
      <c r="H533" s="1043"/>
      <c r="I533" s="1043"/>
      <c r="J533" s="1043"/>
      <c r="K533" s="1043"/>
      <c r="L533" s="1043"/>
      <c r="M533" s="1043"/>
      <c r="N533" s="1042"/>
      <c r="O533" s="1042"/>
      <c r="P533" s="1042"/>
      <c r="AE533" s="415"/>
      <c r="AF533" s="415"/>
    </row>
    <row r="534" spans="2:32" s="54" customFormat="1" ht="10.199999999999999">
      <c r="B534" s="1042"/>
      <c r="C534" s="1042" t="s">
        <v>1571</v>
      </c>
      <c r="D534" s="1043"/>
      <c r="E534" s="1043"/>
      <c r="F534" s="1043"/>
      <c r="G534" s="1043"/>
      <c r="H534" s="1043"/>
      <c r="I534" s="1043"/>
      <c r="J534" s="1042"/>
      <c r="K534" s="1043"/>
      <c r="L534" s="1043"/>
      <c r="M534" s="1043"/>
      <c r="N534" s="1042"/>
      <c r="O534" s="1042"/>
      <c r="P534" s="1042"/>
      <c r="AE534" s="415"/>
      <c r="AF534" s="415"/>
    </row>
    <row r="535" spans="2:32" s="54" customFormat="1" ht="10.199999999999999">
      <c r="B535" s="1042"/>
      <c r="C535" s="1042" t="s">
        <v>1635</v>
      </c>
      <c r="D535" s="1043"/>
      <c r="E535" s="1043"/>
      <c r="F535" s="1043"/>
      <c r="G535" s="1043"/>
      <c r="H535" s="1043"/>
      <c r="I535" s="1043"/>
      <c r="J535" s="1042"/>
      <c r="K535" s="1043"/>
      <c r="L535" s="1043"/>
      <c r="M535" s="1043"/>
      <c r="N535" s="1042"/>
      <c r="O535" s="1042"/>
      <c r="P535" s="1042"/>
      <c r="AE535" s="415"/>
      <c r="AF535" s="415"/>
    </row>
    <row r="536" spans="2:32" s="54" customFormat="1" ht="10.199999999999999">
      <c r="B536" s="1042"/>
      <c r="C536" s="1042" t="s">
        <v>2474</v>
      </c>
      <c r="D536" s="1043"/>
      <c r="E536" s="1043"/>
      <c r="F536" s="1043"/>
      <c r="G536" s="1043"/>
      <c r="H536" s="1043"/>
      <c r="I536" s="1043"/>
      <c r="J536" s="1042"/>
      <c r="K536" s="1043"/>
      <c r="L536" s="1043"/>
      <c r="M536" s="1043"/>
      <c r="N536" s="1042"/>
      <c r="O536" s="1042"/>
      <c r="P536" s="1042"/>
      <c r="AE536" s="415"/>
      <c r="AF536" s="415"/>
    </row>
    <row r="537" spans="2:32" s="54" customFormat="1" ht="10.199999999999999">
      <c r="B537" s="1042"/>
      <c r="C537" s="1042" t="s">
        <v>1637</v>
      </c>
      <c r="D537" s="1043"/>
      <c r="E537" s="1043"/>
      <c r="F537" s="1043"/>
      <c r="G537" s="1043"/>
      <c r="H537" s="1043"/>
      <c r="I537" s="1043"/>
      <c r="J537" s="1042"/>
      <c r="K537" s="1043"/>
      <c r="L537" s="1043"/>
      <c r="M537" s="1043"/>
      <c r="N537" s="1042" t="s">
        <v>2473</v>
      </c>
      <c r="O537" s="1042"/>
      <c r="P537" s="1042"/>
      <c r="AE537" s="415"/>
      <c r="AF537" s="415"/>
    </row>
    <row r="538" spans="2:32" s="54" customFormat="1" ht="10.199999999999999">
      <c r="B538" s="1042"/>
      <c r="C538" s="1042" t="s">
        <v>1638</v>
      </c>
      <c r="D538" s="1043"/>
      <c r="E538" s="1043"/>
      <c r="F538" s="1043"/>
      <c r="G538" s="1043"/>
      <c r="H538" s="1043"/>
      <c r="I538" s="1043"/>
      <c r="J538" s="1043"/>
      <c r="K538" s="1043"/>
      <c r="L538" s="1043"/>
      <c r="M538" s="1043"/>
      <c r="N538" s="1042"/>
      <c r="O538" s="1042"/>
      <c r="P538" s="1042"/>
      <c r="AE538" s="415"/>
      <c r="AF538" s="415"/>
    </row>
    <row r="539" spans="2:32" s="54" customFormat="1" ht="10.199999999999999">
      <c r="B539" s="1042"/>
      <c r="C539" s="1042" t="s">
        <v>1639</v>
      </c>
      <c r="D539" s="1043"/>
      <c r="E539" s="1043"/>
      <c r="F539" s="1043"/>
      <c r="G539" s="1043"/>
      <c r="H539" s="1043"/>
      <c r="I539" s="1043"/>
      <c r="J539" s="1043"/>
      <c r="K539" s="1043"/>
      <c r="L539" s="1043"/>
      <c r="M539" s="1043"/>
      <c r="N539" s="1042"/>
      <c r="O539" s="1042"/>
      <c r="P539" s="1042"/>
      <c r="AE539" s="415"/>
      <c r="AF539" s="415"/>
    </row>
    <row r="540" spans="2:32" s="54" customFormat="1" ht="10.199999999999999">
      <c r="B540" s="1042"/>
      <c r="C540" s="1042" t="s">
        <v>581</v>
      </c>
      <c r="D540" s="1043"/>
      <c r="E540" s="1043"/>
      <c r="F540" s="1043"/>
      <c r="G540" s="1043"/>
      <c r="H540" s="1043"/>
      <c r="I540" s="1043"/>
      <c r="J540" s="1043"/>
      <c r="K540" s="1043"/>
      <c r="L540" s="1043"/>
      <c r="M540" s="1043"/>
      <c r="N540" s="1042"/>
      <c r="O540" s="1042"/>
      <c r="P540" s="1042"/>
      <c r="AE540" s="415"/>
      <c r="AF540" s="415"/>
    </row>
    <row r="541" spans="2:32" s="54" customFormat="1" ht="10.199999999999999">
      <c r="B541" s="1042"/>
      <c r="C541" s="1042" t="s">
        <v>1640</v>
      </c>
      <c r="D541" s="1043"/>
      <c r="E541" s="1043"/>
      <c r="F541" s="1043"/>
      <c r="G541" s="1043"/>
      <c r="H541" s="1043"/>
      <c r="I541" s="1043"/>
      <c r="J541" s="1043"/>
      <c r="K541" s="1043"/>
      <c r="L541" s="1043"/>
      <c r="M541" s="1043"/>
      <c r="N541" s="1042"/>
      <c r="O541" s="1042"/>
      <c r="P541" s="1042"/>
      <c r="AE541" s="415"/>
      <c r="AF541" s="415"/>
    </row>
    <row r="542" spans="2:32" s="54" customFormat="1" ht="10.199999999999999">
      <c r="B542" s="1042"/>
      <c r="C542" s="1042" t="s">
        <v>1849</v>
      </c>
      <c r="D542" s="1043"/>
      <c r="E542" s="1043"/>
      <c r="F542" s="1043"/>
      <c r="G542" s="1043"/>
      <c r="H542" s="1043"/>
      <c r="I542" s="1043"/>
      <c r="J542" s="1043"/>
      <c r="K542" s="1043"/>
      <c r="L542" s="1043"/>
      <c r="M542" s="1043"/>
      <c r="N542" s="1042"/>
      <c r="O542" s="1042"/>
      <c r="P542" s="1042"/>
      <c r="AE542" s="415"/>
      <c r="AF542" s="415"/>
    </row>
    <row r="543" spans="2:32" s="54" customFormat="1" ht="10.199999999999999">
      <c r="B543" s="1042"/>
      <c r="C543" s="1042" t="s">
        <v>226</v>
      </c>
      <c r="D543" s="1043"/>
      <c r="E543" s="1043"/>
      <c r="F543" s="1043"/>
      <c r="G543" s="1043"/>
      <c r="H543" s="1043"/>
      <c r="I543" s="1043"/>
      <c r="J543" s="1042"/>
      <c r="K543" s="1043"/>
      <c r="L543" s="1043"/>
      <c r="M543" s="1043"/>
      <c r="N543" s="1042"/>
      <c r="O543" s="1042"/>
      <c r="P543" s="1042"/>
      <c r="AE543" s="415"/>
      <c r="AF543" s="415"/>
    </row>
    <row r="544" spans="2:32" s="54" customFormat="1" ht="10.199999999999999">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0.199999999999999">
      <c r="B545" s="1042"/>
      <c r="C545" s="1048" t="s">
        <v>1767</v>
      </c>
      <c r="D545" s="1042"/>
      <c r="E545" s="1042"/>
      <c r="F545" s="1042"/>
      <c r="G545" s="1042"/>
      <c r="H545" s="1042"/>
      <c r="I545" s="1042"/>
      <c r="J545" s="1042"/>
      <c r="K545" s="1042"/>
      <c r="L545" s="1042"/>
      <c r="M545" s="1042"/>
      <c r="N545" s="1042"/>
      <c r="O545" s="1042"/>
      <c r="P545" s="1042"/>
      <c r="AE545" s="415"/>
      <c r="AF545" s="415"/>
    </row>
    <row r="546" spans="2:32" s="54" customFormat="1" ht="10.199999999999999">
      <c r="B546" s="1042"/>
      <c r="C546" s="1042" t="s">
        <v>914</v>
      </c>
      <c r="D546" s="1042"/>
      <c r="E546" s="1042"/>
      <c r="F546" s="1042"/>
      <c r="G546" s="1042"/>
      <c r="H546" s="1042"/>
      <c r="I546" s="1042"/>
      <c r="J546" s="1042"/>
      <c r="K546" s="1042"/>
      <c r="L546" s="1042"/>
      <c r="M546" s="1042"/>
      <c r="N546" s="1042"/>
      <c r="O546" s="1042"/>
      <c r="P546" s="1042"/>
      <c r="AE546" s="415"/>
      <c r="AF546" s="415"/>
    </row>
    <row r="547" spans="2:32" s="54" customFormat="1" ht="10.199999999999999">
      <c r="B547" s="1042"/>
      <c r="C547" s="1046" t="s">
        <v>1610</v>
      </c>
      <c r="D547" s="1042"/>
      <c r="E547" s="1042"/>
      <c r="F547" s="1042"/>
      <c r="G547" s="1042"/>
      <c r="H547" s="1042"/>
      <c r="I547" s="1042"/>
      <c r="J547" s="1042"/>
      <c r="K547" s="1042"/>
      <c r="L547" s="1042"/>
      <c r="M547" s="1042"/>
      <c r="N547" s="1042"/>
      <c r="O547" s="1042"/>
      <c r="P547" s="1042"/>
      <c r="AE547" s="415"/>
      <c r="AF547" s="415"/>
    </row>
    <row r="548" spans="2:32" s="54" customFormat="1" ht="10.199999999999999">
      <c r="B548" s="1042"/>
      <c r="C548" s="1046" t="s">
        <v>708</v>
      </c>
      <c r="D548" s="1042"/>
      <c r="E548" s="1042"/>
      <c r="F548" s="1042"/>
      <c r="G548" s="1042"/>
      <c r="H548" s="1042"/>
      <c r="I548" s="1042"/>
      <c r="J548" s="1042"/>
      <c r="K548" s="1042"/>
      <c r="L548" s="1046"/>
      <c r="M548" s="1042"/>
      <c r="N548" s="1042"/>
      <c r="O548" s="1042"/>
      <c r="P548" s="1042"/>
      <c r="AE548" s="415"/>
      <c r="AF548" s="415"/>
    </row>
    <row r="549" spans="2:32" s="54" customFormat="1" ht="10.199999999999999">
      <c r="B549" s="1042"/>
      <c r="C549" s="1046" t="s">
        <v>709</v>
      </c>
      <c r="D549" s="1042"/>
      <c r="E549" s="1042"/>
      <c r="F549" s="1042"/>
      <c r="G549" s="1042"/>
      <c r="H549" s="1042"/>
      <c r="I549" s="1042"/>
      <c r="J549" s="1042"/>
      <c r="K549" s="1042"/>
      <c r="L549" s="1046"/>
      <c r="M549" s="1042"/>
      <c r="N549" s="1042"/>
      <c r="O549" s="1042"/>
      <c r="P549" s="1042"/>
      <c r="AE549" s="415"/>
      <c r="AF549" s="415"/>
    </row>
    <row r="550" spans="2:32" s="54" customFormat="1" ht="10.199999999999999">
      <c r="B550" s="1042"/>
      <c r="C550" s="1046" t="s">
        <v>2129</v>
      </c>
      <c r="D550" s="1042"/>
      <c r="E550" s="1042"/>
      <c r="F550" s="1042"/>
      <c r="G550" s="1042"/>
      <c r="H550" s="1042"/>
      <c r="I550" s="1042"/>
      <c r="J550" s="1042"/>
      <c r="K550" s="1042"/>
      <c r="L550" s="1046"/>
      <c r="M550" s="1042"/>
      <c r="N550" s="1042"/>
      <c r="O550" s="1042"/>
      <c r="P550" s="1042"/>
      <c r="AE550" s="415"/>
      <c r="AF550" s="415"/>
    </row>
    <row r="551" spans="2:32" s="54" customFormat="1" ht="10.199999999999999">
      <c r="B551" s="1042"/>
      <c r="C551" s="1046" t="s">
        <v>124</v>
      </c>
      <c r="D551" s="1042"/>
      <c r="E551" s="1042"/>
      <c r="F551" s="1042"/>
      <c r="G551" s="1042"/>
      <c r="H551" s="1042"/>
      <c r="I551" s="1042"/>
      <c r="J551" s="1042"/>
      <c r="K551" s="1042"/>
      <c r="L551" s="1046"/>
      <c r="M551" s="1042"/>
      <c r="N551" s="1042"/>
      <c r="O551" s="1042"/>
      <c r="P551" s="1042"/>
      <c r="AE551" s="415"/>
      <c r="AF551" s="415"/>
    </row>
    <row r="552" spans="2:32" s="54" customFormat="1" ht="10.199999999999999">
      <c r="B552" s="1042"/>
      <c r="C552" s="1051" t="s">
        <v>122</v>
      </c>
      <c r="D552" s="1042"/>
      <c r="E552" s="1042"/>
      <c r="F552" s="1042"/>
      <c r="G552" s="1042"/>
      <c r="H552" s="1042"/>
      <c r="I552" s="1042"/>
      <c r="J552" s="1042"/>
      <c r="K552" s="1042"/>
      <c r="L552" s="1046"/>
      <c r="M552" s="1042"/>
      <c r="N552" s="1042"/>
      <c r="O552" s="1042"/>
      <c r="P552" s="1042"/>
      <c r="AE552" s="415"/>
      <c r="AF552" s="415"/>
    </row>
    <row r="553" spans="2:32" s="54" customFormat="1" ht="10.199999999999999">
      <c r="B553" s="1042"/>
      <c r="C553" s="1051" t="s">
        <v>1854</v>
      </c>
      <c r="D553" s="1042"/>
      <c r="E553" s="1042"/>
      <c r="F553" s="1042"/>
      <c r="G553" s="1042"/>
      <c r="H553" s="1042"/>
      <c r="I553" s="1042"/>
      <c r="J553" s="1042"/>
      <c r="K553" s="1042"/>
      <c r="L553" s="1042"/>
      <c r="M553" s="1042"/>
      <c r="N553" s="1042"/>
      <c r="O553" s="1042"/>
      <c r="P553" s="1042"/>
      <c r="AE553" s="415"/>
      <c r="AF553" s="415"/>
    </row>
    <row r="554" spans="2:32" s="54" customFormat="1" ht="10.199999999999999">
      <c r="B554" s="1042"/>
      <c r="C554" s="1046" t="s">
        <v>934</v>
      </c>
      <c r="D554" s="1042"/>
      <c r="E554" s="1042"/>
      <c r="F554" s="1042"/>
      <c r="G554" s="1042"/>
      <c r="H554" s="1042"/>
      <c r="I554" s="1042"/>
      <c r="J554" s="1042"/>
      <c r="K554" s="1042"/>
      <c r="L554" s="1046"/>
      <c r="M554" s="1042"/>
      <c r="N554" s="1042"/>
      <c r="O554" s="1042"/>
      <c r="P554" s="1042"/>
      <c r="AE554" s="415"/>
      <c r="AF554" s="415"/>
    </row>
    <row r="555" spans="2:32" s="54" customFormat="1" ht="10.199999999999999">
      <c r="B555" s="1042"/>
      <c r="C555" s="1051" t="s">
        <v>123</v>
      </c>
      <c r="D555" s="1042"/>
      <c r="E555" s="1042"/>
      <c r="F555" s="1042"/>
      <c r="G555" s="1042"/>
      <c r="H555" s="1042"/>
      <c r="I555" s="1042"/>
      <c r="J555" s="1042"/>
      <c r="K555" s="1042"/>
      <c r="L555" s="1046"/>
      <c r="M555" s="1042"/>
      <c r="N555" s="1042"/>
      <c r="O555" s="1042"/>
      <c r="P555" s="1042"/>
      <c r="AE555" s="415"/>
      <c r="AF555" s="415"/>
    </row>
    <row r="556" spans="2:32" s="54" customFormat="1" ht="10.199999999999999">
      <c r="B556" s="1042"/>
      <c r="C556" s="1051" t="s">
        <v>124</v>
      </c>
      <c r="D556" s="1042"/>
      <c r="E556" s="1042"/>
      <c r="F556" s="1042"/>
      <c r="G556" s="1042"/>
      <c r="H556" s="1042"/>
      <c r="I556" s="1042"/>
      <c r="J556" s="1042"/>
      <c r="K556" s="1042"/>
      <c r="L556" s="1046"/>
      <c r="M556" s="1042"/>
      <c r="N556" s="1042"/>
      <c r="O556" s="1042"/>
      <c r="P556" s="1042"/>
      <c r="AE556" s="415"/>
      <c r="AF556" s="415"/>
    </row>
    <row r="557" spans="2:32" s="54" customFormat="1" ht="10.199999999999999">
      <c r="B557" s="1042"/>
      <c r="C557" s="1051" t="s">
        <v>125</v>
      </c>
      <c r="D557" s="1042"/>
      <c r="E557" s="1042"/>
      <c r="F557" s="1042"/>
      <c r="G557" s="1042"/>
      <c r="H557" s="1042"/>
      <c r="I557" s="1042"/>
      <c r="J557" s="1042"/>
      <c r="K557" s="1042"/>
      <c r="L557" s="1046"/>
      <c r="M557" s="1042"/>
      <c r="N557" s="1042"/>
      <c r="O557" s="1042"/>
      <c r="P557" s="1042"/>
      <c r="AE557" s="415"/>
      <c r="AF557" s="415"/>
    </row>
    <row r="558" spans="2:32" s="54" customFormat="1" ht="10.199999999999999">
      <c r="B558" s="1042"/>
      <c r="C558" s="1051" t="s">
        <v>2637</v>
      </c>
      <c r="D558" s="1042"/>
      <c r="E558" s="1042"/>
      <c r="F558" s="1042"/>
      <c r="G558" s="1042"/>
      <c r="H558" s="1042"/>
      <c r="I558" s="1042"/>
      <c r="J558" s="1042"/>
      <c r="K558" s="1042"/>
      <c r="L558" s="1042"/>
      <c r="M558" s="1042"/>
      <c r="N558" s="1042"/>
      <c r="O558" s="1042"/>
      <c r="P558" s="1042"/>
      <c r="AE558" s="415"/>
      <c r="AF558" s="415"/>
    </row>
    <row r="559" spans="2:32" s="54" customFormat="1" ht="10.199999999999999">
      <c r="B559" s="1042"/>
      <c r="C559" s="1046" t="s">
        <v>1984</v>
      </c>
      <c r="D559" s="1042"/>
      <c r="E559" s="1042"/>
      <c r="F559" s="1042"/>
      <c r="G559" s="1042"/>
      <c r="H559" s="1042"/>
      <c r="I559" s="1042"/>
      <c r="J559" s="1042"/>
      <c r="K559" s="1042"/>
      <c r="L559" s="1046"/>
      <c r="M559" s="1042"/>
      <c r="N559" s="1042"/>
      <c r="O559" s="1042"/>
      <c r="P559" s="1042"/>
      <c r="AE559" s="415"/>
      <c r="AF559" s="415"/>
    </row>
    <row r="560" spans="2:32" s="54" customFormat="1" ht="10.199999999999999">
      <c r="B560" s="1042"/>
      <c r="C560" s="1051" t="s">
        <v>2638</v>
      </c>
      <c r="D560" s="1042"/>
      <c r="E560" s="1042"/>
      <c r="F560" s="1042"/>
      <c r="G560" s="1042"/>
      <c r="H560" s="1042"/>
      <c r="I560" s="1042"/>
      <c r="J560" s="1042"/>
      <c r="K560" s="1042"/>
      <c r="L560" s="1046"/>
      <c r="M560" s="1042"/>
      <c r="N560" s="1042"/>
      <c r="O560" s="1042"/>
      <c r="P560" s="1042"/>
      <c r="AE560" s="415"/>
      <c r="AF560" s="415"/>
    </row>
    <row r="561" spans="2:32" s="54" customFormat="1" ht="10.199999999999999">
      <c r="B561" s="1042"/>
      <c r="C561" s="1051" t="s">
        <v>1367</v>
      </c>
      <c r="D561" s="1042"/>
      <c r="E561" s="1042"/>
      <c r="F561" s="1042"/>
      <c r="G561" s="1042"/>
      <c r="H561" s="1042"/>
      <c r="I561" s="1042"/>
      <c r="J561" s="1042"/>
      <c r="K561" s="1042"/>
      <c r="L561" s="1046"/>
      <c r="M561" s="1042"/>
      <c r="N561" s="1042"/>
      <c r="O561" s="1042"/>
      <c r="P561" s="1042"/>
      <c r="AE561" s="415"/>
      <c r="AF561" s="415"/>
    </row>
    <row r="562" spans="2:32" s="54" customFormat="1" ht="10.199999999999999">
      <c r="B562" s="1042"/>
      <c r="C562" s="1051" t="s">
        <v>1569</v>
      </c>
      <c r="D562" s="1042"/>
      <c r="E562" s="1042"/>
      <c r="F562" s="1042"/>
      <c r="G562" s="1042"/>
      <c r="H562" s="1042"/>
      <c r="I562" s="1042"/>
      <c r="J562" s="1042"/>
      <c r="K562" s="1047" t="s">
        <v>457</v>
      </c>
      <c r="L562" s="1046"/>
      <c r="M562" s="1042"/>
      <c r="N562" s="1042"/>
      <c r="O562" s="1042"/>
      <c r="P562" s="1042"/>
      <c r="AE562" s="415"/>
      <c r="AF562" s="415"/>
    </row>
    <row r="563" spans="2:32" s="54" customFormat="1" ht="10.199999999999999">
      <c r="B563" s="1042"/>
      <c r="C563" s="1051" t="s">
        <v>2639</v>
      </c>
      <c r="D563" s="1042"/>
      <c r="E563" s="1042"/>
      <c r="F563" s="1042"/>
      <c r="G563" s="1042"/>
      <c r="H563" s="1042"/>
      <c r="I563" s="1042"/>
      <c r="J563" s="1042"/>
      <c r="K563" s="1042" t="s">
        <v>1070</v>
      </c>
      <c r="L563" s="1046"/>
      <c r="M563" s="1042"/>
      <c r="N563" s="1042"/>
      <c r="O563" s="1042"/>
      <c r="P563" s="1042"/>
      <c r="AE563" s="415"/>
      <c r="AF563" s="415"/>
    </row>
    <row r="564" spans="2:32" s="54" customFormat="1" ht="10.199999999999999">
      <c r="B564" s="1042"/>
      <c r="C564" s="1051" t="s">
        <v>2640</v>
      </c>
      <c r="D564" s="1042"/>
      <c r="E564" s="1042"/>
      <c r="F564" s="1042"/>
      <c r="G564" s="1042"/>
      <c r="H564" s="1042"/>
      <c r="I564" s="1042"/>
      <c r="J564" s="1042"/>
      <c r="K564" s="1042" t="s">
        <v>3654</v>
      </c>
      <c r="L564" s="1042"/>
      <c r="M564" s="1042"/>
      <c r="N564" s="1042"/>
      <c r="O564" s="1042"/>
      <c r="P564" s="1042"/>
      <c r="AE564" s="415"/>
      <c r="AF564" s="415"/>
    </row>
    <row r="565" spans="2:32" s="54" customFormat="1" ht="10.199999999999999">
      <c r="B565" s="1042"/>
      <c r="C565" s="1046" t="s">
        <v>1189</v>
      </c>
      <c r="D565" s="1042"/>
      <c r="E565" s="1042"/>
      <c r="F565" s="1042"/>
      <c r="G565" s="1042"/>
      <c r="H565" s="1042"/>
      <c r="I565" s="1042"/>
      <c r="J565" s="1042"/>
      <c r="K565" s="1042" t="s">
        <v>2613</v>
      </c>
      <c r="L565" s="1042"/>
      <c r="M565" s="1042"/>
      <c r="N565" s="1042"/>
      <c r="O565" s="1042"/>
      <c r="P565" s="1042"/>
      <c r="AE565" s="415"/>
      <c r="AF565" s="415"/>
    </row>
    <row r="566" spans="2:32" s="54" customFormat="1" ht="10.199999999999999">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0.199999999999999">
      <c r="B567" s="1042"/>
      <c r="C567" s="1048" t="s">
        <v>252</v>
      </c>
      <c r="D567" s="1042"/>
      <c r="E567" s="1042"/>
      <c r="F567" s="1042"/>
      <c r="G567" s="1042"/>
      <c r="H567" s="1042"/>
      <c r="I567" s="1042"/>
      <c r="J567" s="1042"/>
      <c r="K567" s="1047" t="s">
        <v>2213</v>
      </c>
      <c r="L567" s="1042"/>
      <c r="M567" s="1042"/>
      <c r="N567" s="1042"/>
      <c r="O567" s="1042"/>
      <c r="P567" s="1042"/>
      <c r="AE567" s="415"/>
      <c r="AF567" s="415"/>
    </row>
    <row r="568" spans="2:32" s="54" customFormat="1" ht="10.199999999999999">
      <c r="B568" s="1042"/>
      <c r="C568" s="1042" t="s">
        <v>1071</v>
      </c>
      <c r="D568" s="1042"/>
      <c r="E568" s="1042"/>
      <c r="F568" s="1042"/>
      <c r="G568" s="1042"/>
      <c r="H568" s="1042"/>
      <c r="I568" s="1042"/>
      <c r="J568" s="1042"/>
      <c r="K568" s="1042" t="s">
        <v>2298</v>
      </c>
      <c r="L568" s="1042"/>
      <c r="M568" s="1042"/>
      <c r="N568" s="1042"/>
      <c r="O568" s="1042"/>
      <c r="P568" s="1042"/>
      <c r="AE568" s="415"/>
      <c r="AF568" s="415"/>
    </row>
    <row r="569" spans="2:32" s="54" customFormat="1" ht="10.199999999999999">
      <c r="B569" s="1042"/>
      <c r="C569" s="1042" t="s">
        <v>168</v>
      </c>
      <c r="D569" s="1042"/>
      <c r="E569" s="1042"/>
      <c r="F569" s="1042"/>
      <c r="G569" s="1042"/>
      <c r="H569" s="1042"/>
      <c r="I569" s="1042"/>
      <c r="J569" s="1042"/>
      <c r="K569" s="1590" t="s">
        <v>4590</v>
      </c>
      <c r="L569" s="1042"/>
      <c r="M569" s="1042"/>
      <c r="N569" s="1042"/>
      <c r="O569" s="1042"/>
      <c r="P569" s="1042"/>
      <c r="AE569" s="415"/>
      <c r="AF569" s="415"/>
    </row>
    <row r="570" spans="2:32" s="54" customFormat="1" ht="10.199999999999999">
      <c r="B570" s="1042"/>
      <c r="C570" s="1042" t="s">
        <v>1508</v>
      </c>
      <c r="D570" s="1042"/>
      <c r="E570" s="1042"/>
      <c r="F570" s="1042"/>
      <c r="G570" s="1042"/>
      <c r="H570" s="1042"/>
      <c r="I570" s="1042"/>
      <c r="J570" s="1042"/>
      <c r="K570" s="1042" t="s">
        <v>3773</v>
      </c>
      <c r="L570" s="1042"/>
      <c r="M570" s="1042"/>
      <c r="N570" s="1042"/>
      <c r="O570" s="1042"/>
      <c r="P570" s="1042"/>
      <c r="AE570" s="415"/>
      <c r="AF570" s="415"/>
    </row>
    <row r="571" spans="2:32" s="54" customFormat="1" ht="10.199999999999999">
      <c r="B571" s="1042"/>
      <c r="C571" s="1042" t="s">
        <v>2091</v>
      </c>
      <c r="D571" s="1042"/>
      <c r="E571" s="1042"/>
      <c r="F571" s="1042"/>
      <c r="G571" s="1042"/>
      <c r="H571" s="1042"/>
      <c r="I571" s="1042"/>
      <c r="J571" s="1042"/>
      <c r="K571" s="1042" t="s">
        <v>4591</v>
      </c>
      <c r="L571" s="1042"/>
      <c r="M571" s="1042"/>
      <c r="N571" s="1042"/>
      <c r="O571" s="1042"/>
      <c r="P571" s="1042"/>
      <c r="AE571" s="415"/>
      <c r="AF571" s="415"/>
    </row>
    <row r="572" spans="2:32" s="54" customFormat="1" ht="10.199999999999999">
      <c r="B572" s="1042"/>
      <c r="C572" s="1042" t="s">
        <v>167</v>
      </c>
      <c r="D572" s="1042"/>
      <c r="E572" s="1042"/>
      <c r="F572" s="1042"/>
      <c r="G572" s="1042"/>
      <c r="H572" s="1042"/>
      <c r="I572" s="1042"/>
      <c r="J572" s="1042"/>
      <c r="K572" s="1042" t="s">
        <v>2686</v>
      </c>
      <c r="L572" s="1042"/>
      <c r="M572" s="1042"/>
      <c r="N572" s="1042"/>
      <c r="O572" s="1042"/>
      <c r="P572" s="1042"/>
      <c r="AE572" s="415"/>
      <c r="AF572" s="415"/>
    </row>
    <row r="573" spans="2:32" s="54" customFormat="1" ht="10.199999999999999">
      <c r="B573" s="1042"/>
      <c r="C573" s="1042"/>
      <c r="D573" s="1042"/>
      <c r="E573" s="1042"/>
      <c r="F573" s="1042"/>
      <c r="G573" s="1042"/>
      <c r="H573" s="1042"/>
      <c r="I573" s="1042"/>
      <c r="J573" s="1042"/>
      <c r="K573" s="1047" t="s">
        <v>1922</v>
      </c>
      <c r="L573" s="1042"/>
      <c r="M573" s="1042"/>
      <c r="N573" s="1042"/>
      <c r="O573" s="1042"/>
      <c r="P573" s="1042"/>
      <c r="AE573" s="415"/>
      <c r="AF573" s="415"/>
    </row>
    <row r="574" spans="2:32" s="54" customFormat="1" ht="10.199999999999999">
      <c r="B574" s="1042"/>
      <c r="C574" s="1042"/>
      <c r="D574" s="1042"/>
      <c r="E574" s="1042"/>
      <c r="F574" s="1042"/>
      <c r="G574" s="1042"/>
      <c r="H574" s="1042"/>
      <c r="I574" s="1042"/>
      <c r="J574" s="1042"/>
      <c r="K574" s="1042" t="s">
        <v>1069</v>
      </c>
      <c r="L574" s="1042"/>
      <c r="M574" s="1042"/>
      <c r="N574" s="1042"/>
      <c r="O574" s="1042"/>
      <c r="P574" s="1042"/>
      <c r="AE574" s="415"/>
      <c r="AF574" s="415"/>
    </row>
    <row r="575" spans="2:32" s="54" customFormat="1" ht="10.199999999999999">
      <c r="B575" s="1042"/>
      <c r="C575" s="1042"/>
      <c r="D575" s="1042"/>
      <c r="E575" s="1042"/>
      <c r="F575" s="1042"/>
      <c r="G575" s="1042"/>
      <c r="H575" s="1042"/>
      <c r="I575" s="1042"/>
      <c r="J575" s="1042"/>
      <c r="K575" s="1042" t="s">
        <v>1730</v>
      </c>
      <c r="L575" s="1042"/>
      <c r="M575" s="1042"/>
      <c r="N575" s="1042"/>
      <c r="O575" s="1042"/>
      <c r="P575" s="1042"/>
      <c r="AE575" s="415"/>
      <c r="AF575" s="415"/>
    </row>
    <row r="576" spans="2:32" s="54" customFormat="1" ht="10.199999999999999">
      <c r="B576" s="1042"/>
      <c r="C576" s="1042"/>
      <c r="D576" s="1042"/>
      <c r="E576" s="1042"/>
      <c r="F576" s="1042"/>
      <c r="G576" s="1042"/>
      <c r="H576" s="1042"/>
      <c r="I576" s="1042"/>
      <c r="J576" s="1042"/>
      <c r="K576" s="1042" t="s">
        <v>1120</v>
      </c>
      <c r="L576" s="1042"/>
      <c r="M576" s="1042"/>
      <c r="N576" s="1042"/>
      <c r="O576" s="1042"/>
      <c r="P576" s="1042"/>
      <c r="AE576" s="415"/>
      <c r="AF576" s="415"/>
    </row>
    <row r="577" spans="2:32" s="54" customFormat="1" ht="10.199999999999999">
      <c r="B577" s="1042"/>
      <c r="C577" s="1042"/>
      <c r="D577" s="1042"/>
      <c r="E577" s="1042"/>
      <c r="F577" s="1042"/>
      <c r="G577" s="1042"/>
      <c r="H577" s="1042"/>
      <c r="I577" s="1042"/>
      <c r="J577" s="1042"/>
      <c r="K577" s="1042" t="s">
        <v>1731</v>
      </c>
      <c r="L577" s="1042"/>
      <c r="M577" s="1042"/>
      <c r="N577" s="1042"/>
      <c r="O577" s="1042"/>
      <c r="P577" s="1042"/>
      <c r="AE577" s="415"/>
      <c r="AF577" s="415"/>
    </row>
    <row r="578" spans="2:32" s="54" customFormat="1" ht="10.199999999999999">
      <c r="B578" s="1042"/>
      <c r="C578" s="1042"/>
      <c r="D578" s="1042"/>
      <c r="E578" s="1042"/>
      <c r="F578" s="1042"/>
      <c r="G578" s="1042"/>
      <c r="H578" s="1042"/>
      <c r="I578" s="1042"/>
      <c r="J578" s="1042"/>
      <c r="K578" s="1042" t="s">
        <v>2339</v>
      </c>
      <c r="L578" s="1042"/>
      <c r="M578" s="1042"/>
      <c r="N578" s="1042"/>
      <c r="O578" s="1042"/>
      <c r="P578" s="1042"/>
      <c r="AE578" s="415"/>
      <c r="AF578" s="415"/>
    </row>
    <row r="579" spans="2:32" s="54" customFormat="1" ht="10.199999999999999">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0.199999999999999">
      <c r="B580" s="1042"/>
      <c r="C580" s="1048" t="s">
        <v>1002</v>
      </c>
      <c r="D580" s="1042"/>
      <c r="E580" s="1042"/>
      <c r="F580" s="1042"/>
      <c r="G580" s="1042"/>
      <c r="H580" s="1042"/>
      <c r="I580" s="1042"/>
      <c r="J580" s="1042"/>
      <c r="K580" s="1042"/>
      <c r="L580" s="1042"/>
      <c r="M580" s="1048" t="s">
        <v>4642</v>
      </c>
      <c r="N580" s="1042"/>
      <c r="O580" s="1042"/>
      <c r="P580" s="1042"/>
      <c r="AE580" s="415"/>
      <c r="AF580" s="415"/>
    </row>
    <row r="581" spans="2:32" s="54" customFormat="1" ht="10.199999999999999">
      <c r="B581" s="1042"/>
      <c r="C581" s="1042" t="s">
        <v>1001</v>
      </c>
      <c r="D581" s="1042"/>
      <c r="E581" s="1042"/>
      <c r="F581" s="1042"/>
      <c r="G581" s="1042"/>
      <c r="H581" s="1042"/>
      <c r="I581" s="1042"/>
      <c r="J581" s="1042"/>
      <c r="K581" s="1042"/>
      <c r="L581" s="1042"/>
      <c r="M581" s="1042" t="s">
        <v>1001</v>
      </c>
      <c r="N581" s="1042"/>
      <c r="O581" s="1042"/>
      <c r="P581" s="1042"/>
      <c r="AE581" s="415"/>
      <c r="AF581" s="415"/>
    </row>
    <row r="582" spans="2:32" s="54" customFormat="1" ht="10.199999999999999">
      <c r="B582" s="1042"/>
      <c r="C582" s="1042" t="s">
        <v>2063</v>
      </c>
      <c r="D582" s="1042"/>
      <c r="E582" s="1042"/>
      <c r="F582" s="1042"/>
      <c r="G582" s="1042"/>
      <c r="H582" s="1042"/>
      <c r="I582" s="1042"/>
      <c r="J582" s="1042"/>
      <c r="K582" s="1042"/>
      <c r="L582" s="1042"/>
      <c r="M582" s="1042" t="s">
        <v>4639</v>
      </c>
      <c r="N582" s="1042"/>
      <c r="O582" s="1042"/>
      <c r="P582" s="1042"/>
      <c r="AE582" s="415"/>
      <c r="AF582" s="415"/>
    </row>
    <row r="583" spans="2:32" s="54" customFormat="1" ht="10.199999999999999">
      <c r="B583" s="1042"/>
      <c r="C583" s="1042" t="s">
        <v>2511</v>
      </c>
      <c r="D583" s="1042"/>
      <c r="E583" s="1042"/>
      <c r="F583" s="1042"/>
      <c r="G583" s="1042"/>
      <c r="H583" s="1042"/>
      <c r="I583" s="1042"/>
      <c r="J583" s="1042"/>
      <c r="K583" s="1042"/>
      <c r="L583" s="1042"/>
      <c r="M583" s="1042" t="s">
        <v>4676</v>
      </c>
      <c r="N583" s="1042"/>
      <c r="O583" s="1042"/>
      <c r="P583" s="1042"/>
      <c r="AE583" s="415"/>
      <c r="AF583" s="415"/>
    </row>
    <row r="584" spans="2:32" s="54" customFormat="1" ht="10.199999999999999">
      <c r="B584" s="1042"/>
      <c r="C584" s="1042" t="s">
        <v>2064</v>
      </c>
      <c r="D584" s="1042"/>
      <c r="E584" s="1042"/>
      <c r="F584" s="1042"/>
      <c r="G584" s="1042"/>
      <c r="H584" s="1042"/>
      <c r="I584" s="1042"/>
      <c r="J584" s="1042"/>
      <c r="K584" s="1042"/>
      <c r="L584" s="1042"/>
      <c r="M584" s="1042" t="s">
        <v>1635</v>
      </c>
      <c r="N584" s="1042"/>
      <c r="O584" s="1042"/>
      <c r="P584" s="1042"/>
      <c r="AE584" s="415"/>
      <c r="AF584" s="415"/>
    </row>
    <row r="585" spans="2:32" s="54" customFormat="1" ht="10.199999999999999">
      <c r="B585" s="1042"/>
      <c r="C585" s="1042" t="s">
        <v>1923</v>
      </c>
      <c r="D585" s="1042"/>
      <c r="E585" s="1042"/>
      <c r="F585" s="1042"/>
      <c r="G585" s="1042"/>
      <c r="H585" s="1042"/>
      <c r="I585" s="1042"/>
      <c r="J585" s="1042"/>
      <c r="K585" s="1042"/>
      <c r="L585" s="1042"/>
      <c r="M585" s="1042" t="s">
        <v>4640</v>
      </c>
      <c r="N585" s="1042"/>
      <c r="O585" s="1042"/>
      <c r="P585" s="1042"/>
      <c r="AE585" s="415"/>
      <c r="AF585" s="415"/>
    </row>
    <row r="586" spans="2:32" s="54" customFormat="1" ht="10.199999999999999">
      <c r="B586" s="1042"/>
      <c r="C586" s="1042" t="s">
        <v>580</v>
      </c>
      <c r="D586" s="1042"/>
      <c r="E586" s="1042"/>
      <c r="F586" s="1042"/>
      <c r="G586" s="1042"/>
      <c r="H586" s="1042"/>
      <c r="I586" s="1042"/>
      <c r="J586" s="1042"/>
      <c r="K586" s="1042"/>
      <c r="L586" s="1042"/>
      <c r="M586" s="1590" t="s">
        <v>4739</v>
      </c>
      <c r="N586" s="1042"/>
      <c r="O586" s="1042"/>
      <c r="P586" s="1042"/>
      <c r="AE586" s="415"/>
      <c r="AF586" s="415"/>
    </row>
    <row r="587" spans="2:32" s="54" customFormat="1" ht="10.199999999999999">
      <c r="B587" s="1042"/>
      <c r="C587" s="1042" t="s">
        <v>2168</v>
      </c>
      <c r="D587" s="1042"/>
      <c r="E587" s="1042"/>
      <c r="F587" s="1042"/>
      <c r="G587" s="1042"/>
      <c r="H587" s="1042"/>
      <c r="I587" s="1042"/>
      <c r="J587" s="1042"/>
      <c r="K587" s="1042"/>
      <c r="L587" s="1042"/>
      <c r="M587" s="1590" t="s">
        <v>4740</v>
      </c>
      <c r="N587" s="1042"/>
      <c r="O587" s="1042"/>
      <c r="P587" s="1042"/>
      <c r="AE587" s="415"/>
      <c r="AF587" s="415"/>
    </row>
    <row r="588" spans="2:32" s="54" customFormat="1" ht="10.199999999999999">
      <c r="B588" s="1042"/>
      <c r="C588" s="1050" t="s">
        <v>31</v>
      </c>
      <c r="D588" s="1042"/>
      <c r="E588" s="1042"/>
      <c r="F588" s="1042"/>
      <c r="G588" s="1042"/>
      <c r="H588" s="1042"/>
      <c r="I588" s="1042"/>
      <c r="J588" s="1042"/>
      <c r="K588" s="1042"/>
      <c r="L588" s="1042"/>
      <c r="M588" s="1042" t="s">
        <v>4641</v>
      </c>
      <c r="N588" s="1042"/>
      <c r="O588" s="1042"/>
      <c r="P588" s="1042"/>
      <c r="AE588" s="415"/>
      <c r="AF588" s="415"/>
    </row>
    <row r="589" spans="2:32" s="54" customFormat="1" ht="10.199999999999999">
      <c r="B589" s="1042"/>
      <c r="C589" s="1042"/>
      <c r="D589" s="1042"/>
      <c r="E589" s="1042"/>
      <c r="F589" s="1042"/>
      <c r="G589" s="1042"/>
      <c r="H589" s="1042"/>
      <c r="I589" s="1042"/>
      <c r="J589" s="1042"/>
      <c r="K589" s="1042"/>
      <c r="L589" s="1042"/>
      <c r="M589" s="1043" t="s">
        <v>2077</v>
      </c>
      <c r="N589" s="1042"/>
      <c r="O589" s="1042"/>
      <c r="P589" s="1042"/>
      <c r="AE589" s="415"/>
      <c r="AF589" s="415"/>
    </row>
    <row r="590" spans="2:32" s="54" customFormat="1" ht="10.199999999999999">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0.199999999999999">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0.199999999999999">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0.199999999999999">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0.199999999999999">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0.199999999999999">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0.199999999999999">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0.199999999999999">
      <c r="B597" s="1042"/>
      <c r="C597" s="1042"/>
      <c r="D597" s="1049" t="s">
        <v>2011</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jKJjJ34r1XlcHSx30s6ZNSpdhpDnzbCHa9YEp2LhG5F/Z2bN6ELdz8GY5ldZk9w9QaOW8Kr9k/03F5INjv7H9A==" saltValue="JT1NSfqt3qi2eyd15okOeQ=="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R472">
    <cfRule type="cellIs" dxfId="136" priority="2" stopIfTrue="1" operator="equal">
      <formula>"* * Check Score! * *"</formula>
    </cfRule>
  </conditionalFormatting>
  <conditionalFormatting sqref="L486:R486">
    <cfRule type="cellIs" dxfId="135"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186" zoomScale="130" zoomScaleNormal="130" workbookViewId="0">
      <selection activeCell="A186" sqref="A1:XFD1048576"/>
    </sheetView>
  </sheetViews>
  <sheetFormatPr defaultColWidth="9.109375" defaultRowHeight="13.2"/>
  <cols>
    <col min="1" max="1" width="4.109375" style="26" customWidth="1"/>
    <col min="2" max="2" width="3.44140625" style="26" customWidth="1"/>
    <col min="3" max="3" width="10.5546875" style="26" customWidth="1"/>
    <col min="4" max="4" width="10.109375" style="26" customWidth="1"/>
    <col min="5" max="5" width="6.109375" style="26" customWidth="1"/>
    <col min="6" max="6" width="9.109375" style="26" customWidth="1"/>
    <col min="7" max="9" width="11.5546875" style="26" customWidth="1"/>
    <col min="10" max="10" width="9.109375" style="26" customWidth="1"/>
    <col min="11" max="11" width="11.88671875" style="26" customWidth="1"/>
    <col min="12" max="12" width="14.88671875" style="26" customWidth="1"/>
    <col min="13" max="13" width="6.88671875" style="26" customWidth="1"/>
    <col min="14" max="14" width="2.88671875" style="75" customWidth="1"/>
    <col min="15" max="16" width="5.88671875" style="1743" customWidth="1"/>
    <col min="17" max="17" width="6" style="26" customWidth="1"/>
    <col min="18" max="21" width="9.109375" style="26" customWidth="1"/>
    <col min="22" max="22" width="8.88671875" style="26" customWidth="1"/>
    <col min="23" max="16384" width="9.109375" style="26"/>
  </cols>
  <sheetData>
    <row r="1" spans="1:22" s="34" customFormat="1" ht="14.1" customHeight="1">
      <c r="A1" s="2945" t="str">
        <f>CONCATENATE("PART NINE - SCORING CRITERIA","  -  ",'Part I-Project Information'!$O$6," ",'Part I-Project Information'!$F$34,", ",'Part I-Project Information'!F38,", ",'Part I-Project Information'!J39," County")</f>
        <v>PART NINE - SCORING CRITERIA  -  2019-063 Haven at South Atlanta, Atlanta, Fulton County</v>
      </c>
      <c r="B1" s="2946"/>
      <c r="C1" s="2946"/>
      <c r="D1" s="2946"/>
      <c r="E1" s="2946"/>
      <c r="F1" s="2946"/>
      <c r="G1" s="2946"/>
      <c r="H1" s="2946"/>
      <c r="I1" s="2946"/>
      <c r="J1" s="2946"/>
      <c r="K1" s="2946"/>
      <c r="L1" s="2946"/>
      <c r="M1" s="2946"/>
      <c r="N1" s="2946"/>
      <c r="O1" s="2946"/>
      <c r="P1" s="2947"/>
      <c r="Q1" s="1614"/>
      <c r="R1" s="1614"/>
      <c r="S1" s="1614"/>
    </row>
    <row r="2" spans="1:22" s="34" customFormat="1" ht="4.3499999999999996" customHeight="1">
      <c r="A2" s="35"/>
      <c r="B2" s="35"/>
      <c r="C2" s="36"/>
      <c r="D2" s="35"/>
      <c r="E2" s="35"/>
      <c r="F2" s="35"/>
      <c r="G2" s="35"/>
      <c r="H2" s="35"/>
      <c r="I2" s="35"/>
      <c r="J2" s="35"/>
      <c r="K2" s="35"/>
      <c r="L2" s="35"/>
      <c r="M2" s="37"/>
      <c r="N2" s="72"/>
      <c r="O2" s="1747"/>
      <c r="P2" s="1747"/>
      <c r="Q2" s="1614"/>
      <c r="R2" s="1614"/>
      <c r="S2" s="1614"/>
    </row>
    <row r="3" spans="1:22" s="41" customFormat="1" ht="12" customHeight="1">
      <c r="A3" s="3685" t="s">
        <v>4609</v>
      </c>
      <c r="B3" s="3685"/>
      <c r="C3" s="3685"/>
      <c r="D3" s="3685"/>
      <c r="E3" s="3685"/>
      <c r="F3" s="3685"/>
      <c r="G3" s="3685"/>
      <c r="H3" s="3685"/>
      <c r="I3" s="3685"/>
      <c r="J3" s="3685"/>
      <c r="K3" s="3685"/>
      <c r="L3" s="3685"/>
      <c r="M3" s="1156" t="s">
        <v>2191</v>
      </c>
      <c r="N3" s="73"/>
      <c r="O3" s="83" t="s">
        <v>2190</v>
      </c>
      <c r="P3" s="1157" t="s">
        <v>253</v>
      </c>
      <c r="Q3" s="1614"/>
      <c r="R3" s="1614"/>
      <c r="S3" s="1614"/>
    </row>
    <row r="4" spans="1:22" s="43" customFormat="1" ht="12" customHeight="1">
      <c r="A4" s="3685"/>
      <c r="B4" s="3685"/>
      <c r="C4" s="3685"/>
      <c r="D4" s="3685"/>
      <c r="E4" s="3685"/>
      <c r="F4" s="3685"/>
      <c r="G4" s="3685"/>
      <c r="H4" s="3685"/>
      <c r="I4" s="3685"/>
      <c r="J4" s="3685"/>
      <c r="K4" s="3685"/>
      <c r="L4" s="3685"/>
      <c r="M4" s="1158" t="s">
        <v>91</v>
      </c>
      <c r="N4" s="84"/>
      <c r="O4" s="173" t="s">
        <v>2191</v>
      </c>
      <c r="P4" s="173" t="s">
        <v>2191</v>
      </c>
      <c r="Q4" s="1614"/>
      <c r="R4" s="1614"/>
      <c r="S4" s="1614"/>
      <c r="T4" s="41"/>
      <c r="U4" s="41"/>
      <c r="V4" s="41"/>
    </row>
    <row r="5" spans="1:22" s="43" customFormat="1" ht="3" customHeight="1" thickBot="1">
      <c r="A5" s="41"/>
      <c r="B5" s="41"/>
      <c r="C5" s="41"/>
      <c r="D5" s="41"/>
      <c r="E5" s="41"/>
      <c r="F5" s="41"/>
      <c r="G5" s="41"/>
      <c r="H5" s="41"/>
      <c r="I5" s="41"/>
      <c r="J5" s="41"/>
      <c r="K5" s="41"/>
      <c r="M5" s="91"/>
      <c r="N5" s="9"/>
      <c r="O5" s="887"/>
      <c r="P5" s="29"/>
      <c r="Q5" s="1614"/>
      <c r="R5" s="1614"/>
      <c r="S5" s="1614"/>
    </row>
    <row r="6" spans="1:22" s="43" customFormat="1" ht="12.75" customHeight="1" thickTop="1" thickBot="1">
      <c r="A6" s="41"/>
      <c r="B6" s="3674" t="str">
        <f>'Part I-Project Information'!$B$6</f>
        <v>May 2019</v>
      </c>
      <c r="C6" s="3674"/>
      <c r="D6" s="3674"/>
      <c r="E6" s="3674"/>
      <c r="F6" s="3674"/>
      <c r="G6" s="469"/>
      <c r="H6" s="41"/>
      <c r="I6" s="41"/>
      <c r="J6" s="41"/>
      <c r="L6" s="69" t="s">
        <v>1211</v>
      </c>
      <c r="M6" s="268">
        <f>M448</f>
        <v>92</v>
      </c>
      <c r="N6" s="8"/>
      <c r="O6" s="1141">
        <f>O448</f>
        <v>56</v>
      </c>
      <c r="P6" s="1141">
        <f>P448</f>
        <v>20</v>
      </c>
      <c r="Q6" s="1614"/>
      <c r="R6" s="1614"/>
      <c r="S6" s="1614"/>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1546" t="s">
        <v>4476</v>
      </c>
      <c r="D8" s="51"/>
      <c r="E8" s="51"/>
      <c r="F8" s="51"/>
      <c r="G8" s="66"/>
      <c r="H8" s="172" t="s">
        <v>4573</v>
      </c>
      <c r="I8" s="66"/>
      <c r="J8" s="66"/>
      <c r="K8" s="66"/>
      <c r="L8" s="66"/>
      <c r="M8" s="1536" t="s">
        <v>4572</v>
      </c>
      <c r="N8" s="66"/>
      <c r="O8" s="2473">
        <v>0</v>
      </c>
      <c r="P8" s="1534">
        <f>IF(P10&lt;2,0,IF(AND(P10&gt;1,P10&lt;5),1,IF(P10&gt;4,P10-3)))</f>
        <v>0</v>
      </c>
      <c r="Q8" s="35" t="s">
        <v>4574</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1577" t="s">
        <v>3950</v>
      </c>
      <c r="B10" s="1577" t="s">
        <v>3951</v>
      </c>
      <c r="C10" s="1191"/>
      <c r="D10" s="1191"/>
      <c r="E10" s="964" t="s">
        <v>3971</v>
      </c>
      <c r="F10" s="3710" t="s">
        <v>3970</v>
      </c>
      <c r="G10" s="3710"/>
      <c r="H10" s="3710"/>
      <c r="I10" s="3710"/>
      <c r="J10" s="3710"/>
      <c r="K10" s="3710"/>
      <c r="L10" s="3710"/>
      <c r="M10" s="3710"/>
      <c r="N10" s="3710"/>
      <c r="O10" s="1578" t="s">
        <v>4474</v>
      </c>
      <c r="P10" s="1579">
        <f>SUM(P11:P20)</f>
        <v>0</v>
      </c>
      <c r="Q10" s="3749" t="s">
        <v>4686</v>
      </c>
      <c r="R10" s="3749"/>
      <c r="S10" s="3749"/>
      <c r="T10" s="3749"/>
      <c r="U10" s="3749"/>
      <c r="V10" s="3749"/>
    </row>
    <row r="11" spans="1:22" s="41" customFormat="1" ht="11.25" customHeight="1">
      <c r="A11" s="1174" t="s">
        <v>731</v>
      </c>
      <c r="B11" s="1175" t="s">
        <v>3952</v>
      </c>
      <c r="C11" s="1176"/>
      <c r="D11" s="1177"/>
      <c r="E11" s="1568">
        <f>$O$61</f>
        <v>10</v>
      </c>
      <c r="F11" s="3711" t="str">
        <f>$A$67</f>
        <v xml:space="preserve">The Desirable/Undesirable Certification shows ten amenities for a total of 15 points, althoug applicants are capped at ten.  Tab 27 also  includes google maps showing directions to amenities from site. Google directional maps have been provided that utilize the pedestrian/vehicular geo coordinates at the site entrance.   The daycare licensing information has been inluded as well. 
Additionally, Haven at South Atlanta is 0.8 miles from the Carver Neighborhood Market located at 1297 McDonough Boulevard SE, Atlanta, GA 30315; consequently, the site is not in a food desert and should not receive any undesirable point deductions.  The QAP defines a food desert as a “low-income census tract where a significant number or share of residents is more than 2 miles (USDA urban) or 20 miles (USDA rural) from the nearest supermarket”. DCA requires applicants to utilize the USDA Food Access Research Atlas showing the “LI and LA at 1 and 20 miles” layer with the site location clearly marked. Please note, the layer DCA identifies (LA at 1 and 20 miles) demonstrates, “Low-income census tracts where a significant number or share of residents is more than 1 mile (urban) or 20 miles (rural) from the nearest supermarket, a much shorter distance than the 2 mile distance referenced in the QAP. The applicant has also verified with Alana Rhone, USDA Economic Research Service, Agricultural Economist, and with the physical reports that the map utilizes, 1) the data has not been updated since 2015 and 2) only supermarkets, super centers, or large grocery stores are identified.  The Carver Neighborhood Market is three years old; consequently, it would not have been captured in 2015 data.  Additionally, although the neighborhood market meets the grocery store requirements, it is not a large supermarket or super center. 
</v>
      </c>
      <c r="G11" s="3712"/>
      <c r="H11" s="3712"/>
      <c r="I11" s="3712"/>
      <c r="J11" s="3712"/>
      <c r="K11" s="3712"/>
      <c r="L11" s="3712"/>
      <c r="M11" s="3712"/>
      <c r="N11" s="3712"/>
      <c r="O11" s="3712"/>
      <c r="P11" s="1597"/>
      <c r="Q11" s="3749"/>
      <c r="R11" s="3749"/>
      <c r="S11" s="3749"/>
      <c r="T11" s="3749"/>
      <c r="U11" s="3749"/>
      <c r="V11" s="3749"/>
    </row>
    <row r="12" spans="1:22" s="41" customFormat="1" ht="11.25" customHeight="1">
      <c r="A12" s="1178" t="s">
        <v>522</v>
      </c>
      <c r="B12" s="965" t="s">
        <v>3953</v>
      </c>
      <c r="C12" s="1084"/>
      <c r="D12" s="1179"/>
      <c r="E12" s="1569">
        <f>$O$153</f>
        <v>0</v>
      </c>
      <c r="F12" s="3671" t="str">
        <f>$A$185</f>
        <v>The applicant is not eligible for points in this category.</v>
      </c>
      <c r="G12" s="3672"/>
      <c r="H12" s="3672"/>
      <c r="I12" s="3672"/>
      <c r="J12" s="3672"/>
      <c r="K12" s="3672"/>
      <c r="L12" s="3672"/>
      <c r="M12" s="3672"/>
      <c r="N12" s="3672"/>
      <c r="O12" s="3673"/>
      <c r="P12" s="1598"/>
      <c r="Q12" s="3760" t="str">
        <f>IF(OR($A$67="",$A$302="",$A$185="",$A$224="",$A$273="",$A$325="",$A$365="",$A$380="",$A$416="",$A$436=""),"Some Applicant Scoring Justification boxes are empty! Check to see if points claimed.","")</f>
        <v/>
      </c>
      <c r="R12" s="3761"/>
      <c r="S12" s="3761"/>
    </row>
    <row r="13" spans="1:22" s="41" customFormat="1" ht="11.25" customHeight="1">
      <c r="A13" s="1178" t="s">
        <v>761</v>
      </c>
      <c r="B13" s="965" t="s">
        <v>3954</v>
      </c>
      <c r="C13" s="1084"/>
      <c r="D13" s="1179"/>
      <c r="E13" s="1570">
        <f>$O$189</f>
        <v>7</v>
      </c>
      <c r="F13" s="3671" t="str">
        <f>$A$224</f>
        <v xml:space="preserve">The applicant has included an approved community revitalization plan. The revitalization certificate has been executed and included in Tab 32. Additionally, all off site improvement documentation has been included in Tab 32. </v>
      </c>
      <c r="G13" s="3672"/>
      <c r="H13" s="3672"/>
      <c r="I13" s="3672"/>
      <c r="J13" s="3672"/>
      <c r="K13" s="3672"/>
      <c r="L13" s="3672"/>
      <c r="M13" s="3672"/>
      <c r="N13" s="3672"/>
      <c r="O13" s="3673"/>
      <c r="P13" s="1598"/>
      <c r="Q13" s="3760"/>
      <c r="R13" s="3761"/>
      <c r="S13" s="3761"/>
    </row>
    <row r="14" spans="1:22" s="41" customFormat="1" ht="11.25" customHeight="1">
      <c r="A14" s="1184" t="s">
        <v>289</v>
      </c>
      <c r="B14" s="1185" t="s">
        <v>3955</v>
      </c>
      <c r="C14" s="1186"/>
      <c r="D14" s="1187"/>
      <c r="E14" s="1571" t="s">
        <v>1712</v>
      </c>
      <c r="F14" s="3713" t="str">
        <f>$A$273</f>
        <v>In 2000, the South Atlanta Civic League (SACL) heard about Focused Community Strategies (FCS), a nonprofit organization that had been working to facilitate revitalization efforts in the nearby communities of Grant Park, Summerhill, Ormewood Park, and East Lake.   SACL remembered what South Atlanta had been, and they invited FCS to dream with them about neighbors returning to South Atlanta to create an economically diverse neighborhood. Discussions centered on the liquor store, which was representative of many blighted commercial spaces, at the intersection of McDonough Boulevard and Jonesboro Road; it was the one of the few remaining businesses in the neighborhood, and it had become a hotbed of criminal activity. With neighborhood support, FCS purchased the liquor store, transformed it into a coffee shop and thrift store, and began building on this new community asset to generate momentum for positive change.  For 18 years and counting, FCS has been partnering with the residents of South Atlanta to create a flourishing neighborhood. In addition to developing numerous programs to support local families, FCS has worked with partners to renovate more than 165 homes in the neighborhood, increasing home ownership to more than 50%. In 2015, the thrift store was converted into Carver Market, an oasis of affordable fresh produce and other groceries in what had long been a food desert.   FCS has worked with two community based non-profits (PBSA and SACL) for over two-years to improve the lives of existing residents in S. Atlanta for over 2-years (measurable metrics)  Please See Tab 33 of the Application.  The applicant has included FCS's IRS Form 990 for 2017 and 2016 and a detailed narrative substantiating their philanthropic activities during the required time period.  Additionaly, the 2018 returns have not been completed; however, a draft can be provided at DCA's request.   These Philanthropic activities are limited to the space provided, FCS leads numerous activities in the Defined Neighborhood that improves residents access to transportation, health care, Food, housing and eductation/job training.   FCS was sought out and invited by a community led effort via the South Atlanta Civic League to become the communities Development Partner two decades ago.  Please see Tab 33 for letter from SACL.  FCS has engaged and relationships with the entire community, please see letters from existing residents , government employees, Price Middle School Principal, and other health and transportation representatives who have agreed to serve on the CQB for the Transformation Plan in Tab 33.  Please see Tab 33 for the entire "FCS Story".</v>
      </c>
      <c r="G14" s="3714"/>
      <c r="H14" s="3714"/>
      <c r="I14" s="3714"/>
      <c r="J14" s="3714"/>
      <c r="K14" s="3714"/>
      <c r="L14" s="3714"/>
      <c r="M14" s="3714"/>
      <c r="N14" s="3714"/>
      <c r="O14" s="3715"/>
      <c r="P14" s="1598"/>
      <c r="Q14" s="3760"/>
      <c r="R14" s="3761"/>
      <c r="S14" s="3761"/>
    </row>
    <row r="15" spans="1:22" s="41" customFormat="1" ht="11.25" customHeight="1">
      <c r="A15" s="1178" t="s">
        <v>359</v>
      </c>
      <c r="B15" s="965" t="s">
        <v>3676</v>
      </c>
      <c r="C15" s="1084"/>
      <c r="D15" s="1179"/>
      <c r="E15" s="1569">
        <f>$O$298</f>
        <v>0</v>
      </c>
      <c r="F15" s="3671" t="str">
        <f>$A$302</f>
        <v>The applicant is not eligible for points in this category.</v>
      </c>
      <c r="G15" s="3672"/>
      <c r="H15" s="3672"/>
      <c r="I15" s="3672"/>
      <c r="J15" s="3672"/>
      <c r="K15" s="3672"/>
      <c r="L15" s="3672"/>
      <c r="M15" s="3672"/>
      <c r="N15" s="3672"/>
      <c r="O15" s="3673"/>
      <c r="P15" s="1598"/>
      <c r="Q15" s="3760"/>
      <c r="R15" s="3761"/>
      <c r="S15" s="3761"/>
    </row>
    <row r="16" spans="1:22" s="41" customFormat="1" ht="11.25" customHeight="1">
      <c r="A16" s="1178" t="s">
        <v>4566</v>
      </c>
      <c r="B16" s="965" t="s">
        <v>4247</v>
      </c>
      <c r="C16" s="1084"/>
      <c r="D16" s="1179"/>
      <c r="E16" s="1571">
        <f>$O$306</f>
        <v>3</v>
      </c>
      <c r="F16" s="3671" t="str">
        <f>$A$325</f>
        <v xml:space="preserve">Haven at South Atlanta is not within a 1-mile radius of a 9% development that has received an award in the last 6 funding cycles. </v>
      </c>
      <c r="G16" s="3672"/>
      <c r="H16" s="3672"/>
      <c r="I16" s="3672"/>
      <c r="J16" s="3672"/>
      <c r="K16" s="3672"/>
      <c r="L16" s="3672"/>
      <c r="M16" s="3672"/>
      <c r="N16" s="3672"/>
      <c r="O16" s="3673"/>
      <c r="P16" s="1598"/>
      <c r="Q16" s="3760"/>
      <c r="R16" s="3761"/>
      <c r="S16" s="3761"/>
    </row>
    <row r="17" spans="1:19" s="41" customFormat="1" ht="11.25" customHeight="1">
      <c r="A17" s="1178" t="s">
        <v>2736</v>
      </c>
      <c r="B17" s="965" t="s">
        <v>3956</v>
      </c>
      <c r="C17" s="1084"/>
      <c r="D17" s="1179"/>
      <c r="E17" s="1571">
        <f>$O$359</f>
        <v>1</v>
      </c>
      <c r="F17" s="3668" t="str">
        <f>$A$365</f>
        <v>The applicant has chosen to claim the 1 priority point for this application (Haven at South Atlanta).</v>
      </c>
      <c r="G17" s="3669"/>
      <c r="H17" s="3669"/>
      <c r="I17" s="3669"/>
      <c r="J17" s="3669"/>
      <c r="K17" s="3669"/>
      <c r="L17" s="3669"/>
      <c r="M17" s="3669"/>
      <c r="N17" s="3669"/>
      <c r="O17" s="3670"/>
      <c r="P17" s="1598"/>
      <c r="Q17" s="3760"/>
      <c r="R17" s="3761"/>
      <c r="S17" s="3761"/>
    </row>
    <row r="18" spans="1:19" s="41" customFormat="1" ht="11.25" customHeight="1">
      <c r="A18" s="1184" t="s">
        <v>2223</v>
      </c>
      <c r="B18" s="1185" t="s">
        <v>3957</v>
      </c>
      <c r="C18" s="1186"/>
      <c r="D18" s="1187"/>
      <c r="E18" s="1572">
        <f>O369</f>
        <v>0</v>
      </c>
      <c r="F18" s="3671" t="str">
        <f>$A$380</f>
        <v>The applicant is not eligible for points in this category.</v>
      </c>
      <c r="G18" s="3672"/>
      <c r="H18" s="3672"/>
      <c r="I18" s="3672"/>
      <c r="J18" s="3672"/>
      <c r="K18" s="3672"/>
      <c r="L18" s="3672"/>
      <c r="M18" s="3672"/>
      <c r="N18" s="3672"/>
      <c r="O18" s="3673"/>
      <c r="P18" s="1598"/>
      <c r="Q18" s="3760"/>
      <c r="R18" s="3761"/>
      <c r="S18" s="3761"/>
    </row>
    <row r="19" spans="1:19" s="41" customFormat="1" ht="11.25" customHeight="1">
      <c r="A19" s="1178" t="s">
        <v>3917</v>
      </c>
      <c r="B19" s="965" t="s">
        <v>3958</v>
      </c>
      <c r="C19" s="1084"/>
      <c r="D19" s="1179"/>
      <c r="E19" s="1569">
        <f>$O$384</f>
        <v>2</v>
      </c>
      <c r="F19" s="3671" t="str">
        <f>$A$416</f>
        <v xml:space="preserve">A commitment from Invest Atlanta for Housing Opportunity Bonds in the amount of $1,200,000 has been included. The loan is for both construction and permanent financing for a period of 40 years and 1% interest. The commitment is included in Tab 1 and Tab 40. This loan represents 7.5601% of TDC, so the applicant is eligible for 2 points. </v>
      </c>
      <c r="G19" s="3672"/>
      <c r="H19" s="3672"/>
      <c r="I19" s="3672"/>
      <c r="J19" s="3672"/>
      <c r="K19" s="3672"/>
      <c r="L19" s="3672"/>
      <c r="M19" s="3672"/>
      <c r="N19" s="3672"/>
      <c r="O19" s="3673"/>
      <c r="P19" s="1598"/>
      <c r="Q19" s="3760"/>
      <c r="R19" s="3761"/>
      <c r="S19" s="3761"/>
    </row>
    <row r="20" spans="1:19" s="41" customFormat="1" ht="11.25" customHeight="1">
      <c r="A20" s="1180" t="s">
        <v>3918</v>
      </c>
      <c r="B20" s="1181" t="s">
        <v>3959</v>
      </c>
      <c r="C20" s="1182"/>
      <c r="D20" s="1183"/>
      <c r="E20" s="1573">
        <f>$O$420</f>
        <v>0</v>
      </c>
      <c r="F20" s="3707" t="str">
        <f>$A$436</f>
        <v>The applicant is not eligible for points in this category.</v>
      </c>
      <c r="G20" s="3708"/>
      <c r="H20" s="3708"/>
      <c r="I20" s="3708"/>
      <c r="J20" s="3708"/>
      <c r="K20" s="3708"/>
      <c r="L20" s="3708"/>
      <c r="M20" s="3708"/>
      <c r="N20" s="3708"/>
      <c r="O20" s="3709"/>
      <c r="P20" s="1599"/>
      <c r="Q20" s="3760"/>
      <c r="R20" s="3761"/>
      <c r="S20" s="3761"/>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605</v>
      </c>
      <c r="B22" s="106" t="s">
        <v>2738</v>
      </c>
      <c r="C22" s="3"/>
      <c r="D22" s="3"/>
      <c r="E22" s="3"/>
      <c r="F22" s="1765"/>
      <c r="H22" s="172" t="s">
        <v>4571</v>
      </c>
      <c r="M22" s="1747">
        <v>10</v>
      </c>
      <c r="N22" s="107"/>
      <c r="O22" s="1089">
        <f>MIN($M22, $M22-O25-O26-O27-O30)</f>
        <v>10</v>
      </c>
      <c r="P22" s="1089">
        <f>MIN($M22, $M22-P25-P30-P26)</f>
        <v>10</v>
      </c>
      <c r="Q22" s="109" t="s">
        <v>437</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1957</v>
      </c>
      <c r="B24" s="165" t="s">
        <v>4469</v>
      </c>
      <c r="D24" s="47"/>
      <c r="E24" s="47"/>
      <c r="F24" s="1765"/>
      <c r="M24" s="5"/>
      <c r="N24" s="64" t="s">
        <v>1957</v>
      </c>
    </row>
    <row r="25" spans="1:19" s="42" customFormat="1" ht="11.25" customHeight="1">
      <c r="A25" s="178"/>
      <c r="B25" s="1539" t="s">
        <v>1960</v>
      </c>
      <c r="C25" s="110" t="s">
        <v>4472</v>
      </c>
      <c r="D25" s="47"/>
      <c r="E25" s="47"/>
      <c r="F25" s="1765"/>
      <c r="H25" s="172" t="s">
        <v>3554</v>
      </c>
      <c r="J25" s="48"/>
      <c r="M25" s="5"/>
      <c r="N25" s="390" t="s">
        <v>1960</v>
      </c>
      <c r="O25" s="2474">
        <v>0</v>
      </c>
      <c r="P25" s="1142">
        <f>F33</f>
        <v>0</v>
      </c>
    </row>
    <row r="26" spans="1:19" s="42" customFormat="1" ht="11.25" customHeight="1">
      <c r="A26" s="178"/>
      <c r="B26" s="1539" t="s">
        <v>1962</v>
      </c>
      <c r="C26" s="110" t="s">
        <v>4751</v>
      </c>
      <c r="D26" s="47"/>
      <c r="E26" s="47"/>
      <c r="F26" s="1765"/>
      <c r="H26" s="172" t="s">
        <v>4470</v>
      </c>
      <c r="J26" s="48"/>
      <c r="M26" s="5"/>
      <c r="N26" s="390" t="s">
        <v>1962</v>
      </c>
      <c r="O26" s="2475">
        <v>0</v>
      </c>
      <c r="P26" s="1532">
        <f>J33</f>
        <v>0</v>
      </c>
    </row>
    <row r="27" spans="1:19" s="42" customFormat="1" ht="11.25" customHeight="1">
      <c r="A27" s="178"/>
      <c r="B27" s="1539" t="s">
        <v>2501</v>
      </c>
      <c r="C27" s="110" t="s">
        <v>4471</v>
      </c>
      <c r="D27" s="47"/>
      <c r="E27" s="47"/>
      <c r="F27" s="1765"/>
      <c r="H27" s="172" t="s">
        <v>4475</v>
      </c>
      <c r="J27" s="48"/>
      <c r="M27" s="5"/>
      <c r="N27" s="390" t="s">
        <v>2501</v>
      </c>
      <c r="O27" s="2476">
        <v>0</v>
      </c>
      <c r="P27" s="2477"/>
    </row>
    <row r="28" spans="1:19" s="42" customFormat="1" ht="11.25" customHeight="1">
      <c r="C28" s="3678" t="s">
        <v>4713</v>
      </c>
      <c r="D28" s="3679"/>
      <c r="E28" s="3679"/>
      <c r="F28" s="3679"/>
      <c r="G28" s="3679"/>
      <c r="H28" s="3679"/>
      <c r="I28" s="3679"/>
      <c r="J28" s="3679"/>
      <c r="K28" s="3679"/>
      <c r="L28" s="3679"/>
      <c r="M28" s="3679"/>
      <c r="N28" s="3679"/>
      <c r="O28" s="3679"/>
      <c r="P28" s="3680"/>
      <c r="Q28" s="1073"/>
      <c r="R28" s="446"/>
    </row>
    <row r="29" spans="1:19" s="426" customFormat="1" ht="3" customHeight="1">
      <c r="A29" s="584"/>
      <c r="B29" s="578"/>
      <c r="C29" s="579"/>
      <c r="D29" s="139"/>
      <c r="K29" s="904"/>
      <c r="L29" s="904"/>
      <c r="M29" s="1038"/>
      <c r="N29" s="390"/>
      <c r="O29" s="909"/>
      <c r="P29" s="909"/>
    </row>
    <row r="30" spans="1:19" s="41" customFormat="1" ht="11.25" customHeight="1">
      <c r="A30" s="178" t="s">
        <v>1959</v>
      </c>
      <c r="B30" s="165" t="s">
        <v>715</v>
      </c>
      <c r="D30" s="47"/>
      <c r="E30" s="47"/>
      <c r="F30" s="1765"/>
      <c r="H30" s="172" t="s">
        <v>2687</v>
      </c>
      <c r="J30" s="48"/>
      <c r="M30" s="5"/>
      <c r="N30" s="64" t="s">
        <v>1959</v>
      </c>
      <c r="O30" s="2478">
        <v>0</v>
      </c>
      <c r="P30" s="1535">
        <f>O33</f>
        <v>0</v>
      </c>
    </row>
    <row r="31" spans="1:19" s="426" customFormat="1" ht="3" customHeight="1">
      <c r="A31" s="584"/>
      <c r="B31" s="578"/>
      <c r="C31" s="579"/>
      <c r="D31" s="139"/>
      <c r="K31" s="904"/>
      <c r="L31" s="904"/>
      <c r="M31" s="1038"/>
      <c r="N31" s="390"/>
      <c r="O31" s="909"/>
      <c r="P31" s="909"/>
    </row>
    <row r="32" spans="1:19" s="41" customFormat="1" ht="11.1" customHeight="1">
      <c r="A32" s="3695" t="s">
        <v>4681</v>
      </c>
      <c r="B32" s="3695"/>
      <c r="C32" s="3695"/>
      <c r="D32" s="3695"/>
      <c r="E32" s="3695"/>
      <c r="F32" s="1529" t="s">
        <v>3949</v>
      </c>
      <c r="G32" s="3699" t="s">
        <v>4682</v>
      </c>
      <c r="H32" s="3699"/>
      <c r="I32" s="3699"/>
      <c r="J32" s="1529" t="s">
        <v>3949</v>
      </c>
      <c r="K32" s="3703" t="s">
        <v>4468</v>
      </c>
      <c r="L32" s="3703"/>
      <c r="M32" s="3703"/>
      <c r="N32" s="3703"/>
      <c r="O32" s="3697" t="s">
        <v>3949</v>
      </c>
      <c r="P32" s="3698"/>
      <c r="R32" s="447"/>
      <c r="S32" s="157"/>
    </row>
    <row r="33" spans="1:20" s="41" customFormat="1" ht="11.25" customHeight="1">
      <c r="A33" s="3696"/>
      <c r="B33" s="3696"/>
      <c r="C33" s="3696"/>
      <c r="D33" s="3696"/>
      <c r="E33" s="3696"/>
      <c r="F33" s="76">
        <f>SUM(F34:F45)</f>
        <v>0</v>
      </c>
      <c r="G33" s="3700"/>
      <c r="H33" s="3701"/>
      <c r="I33" s="3702"/>
      <c r="J33" s="76">
        <f>SUM(J34:J45)</f>
        <v>0</v>
      </c>
      <c r="K33" s="3704"/>
      <c r="L33" s="3705"/>
      <c r="M33" s="3705"/>
      <c r="N33" s="3706"/>
      <c r="O33" s="3686">
        <f>SUM(O34:O45)</f>
        <v>0</v>
      </c>
      <c r="P33" s="3687"/>
      <c r="Q33" s="447"/>
      <c r="R33" s="157"/>
    </row>
    <row r="34" spans="1:20" s="41" customFormat="1" ht="24.75" customHeight="1">
      <c r="A34" s="3688">
        <v>1</v>
      </c>
      <c r="B34" s="3689"/>
      <c r="C34" s="3689"/>
      <c r="D34" s="3689"/>
      <c r="E34" s="3690"/>
      <c r="F34" s="881"/>
      <c r="G34" s="3688">
        <v>1</v>
      </c>
      <c r="H34" s="3689"/>
      <c r="I34" s="3690"/>
      <c r="J34" s="885" t="s">
        <v>1712</v>
      </c>
      <c r="K34" s="3691">
        <v>1</v>
      </c>
      <c r="L34" s="3692"/>
      <c r="M34" s="3692"/>
      <c r="N34" s="3692"/>
      <c r="O34" s="3693" t="s">
        <v>1712</v>
      </c>
      <c r="P34" s="3694"/>
      <c r="Q34" s="445" t="s">
        <v>1239</v>
      </c>
      <c r="R34" s="157"/>
    </row>
    <row r="35" spans="1:20" s="41" customFormat="1" ht="24.75" customHeight="1">
      <c r="A35" s="3537">
        <v>2</v>
      </c>
      <c r="B35" s="3538"/>
      <c r="C35" s="3538"/>
      <c r="D35" s="3538"/>
      <c r="E35" s="3539"/>
      <c r="F35" s="882"/>
      <c r="G35" s="3537">
        <v>2</v>
      </c>
      <c r="H35" s="3538"/>
      <c r="I35" s="3539"/>
      <c r="J35" s="882"/>
      <c r="K35" s="3540">
        <v>2</v>
      </c>
      <c r="L35" s="3541"/>
      <c r="M35" s="3541"/>
      <c r="N35" s="3541"/>
      <c r="O35" s="3542"/>
      <c r="P35" s="3543"/>
      <c r="Q35" s="446"/>
      <c r="R35" s="157"/>
    </row>
    <row r="36" spans="1:20" s="41" customFormat="1" ht="24.75" customHeight="1">
      <c r="A36" s="3537">
        <v>3</v>
      </c>
      <c r="B36" s="3538"/>
      <c r="C36" s="3538"/>
      <c r="D36" s="3538"/>
      <c r="E36" s="3539"/>
      <c r="F36" s="882"/>
      <c r="G36" s="3537">
        <v>3</v>
      </c>
      <c r="H36" s="3538"/>
      <c r="I36" s="3539"/>
      <c r="J36" s="1188" t="s">
        <v>2848</v>
      </c>
      <c r="K36" s="3540">
        <v>3</v>
      </c>
      <c r="L36" s="3541"/>
      <c r="M36" s="3541"/>
      <c r="N36" s="3541"/>
      <c r="O36" s="3544" t="s">
        <v>2848</v>
      </c>
      <c r="P36" s="3545"/>
      <c r="Q36" s="3508" t="s">
        <v>4473</v>
      </c>
      <c r="R36" s="3509"/>
      <c r="S36" s="1533"/>
      <c r="T36" s="1533"/>
    </row>
    <row r="37" spans="1:20" s="41" customFormat="1" ht="24.75" customHeight="1">
      <c r="A37" s="3537">
        <v>4</v>
      </c>
      <c r="B37" s="3538"/>
      <c r="C37" s="3538"/>
      <c r="D37" s="3538"/>
      <c r="E37" s="3539"/>
      <c r="F37" s="882"/>
      <c r="G37" s="3537">
        <v>4</v>
      </c>
      <c r="H37" s="3538"/>
      <c r="I37" s="3539"/>
      <c r="J37" s="882"/>
      <c r="K37" s="3540">
        <v>4</v>
      </c>
      <c r="L37" s="3541"/>
      <c r="M37" s="3541"/>
      <c r="N37" s="3541"/>
      <c r="O37" s="3544" t="s">
        <v>2848</v>
      </c>
      <c r="P37" s="3545"/>
      <c r="Q37" s="3508"/>
      <c r="R37" s="3509"/>
      <c r="S37" s="1533"/>
      <c r="T37" s="1533"/>
    </row>
    <row r="38" spans="1:20" s="41" customFormat="1" ht="24.75" customHeight="1">
      <c r="A38" s="3537">
        <v>5</v>
      </c>
      <c r="B38" s="3538"/>
      <c r="C38" s="3538"/>
      <c r="D38" s="3538"/>
      <c r="E38" s="3539"/>
      <c r="F38" s="882"/>
      <c r="G38" s="3537">
        <v>5</v>
      </c>
      <c r="H38" s="3538"/>
      <c r="I38" s="3539"/>
      <c r="J38" s="1188" t="s">
        <v>3511</v>
      </c>
      <c r="K38" s="3540">
        <v>5</v>
      </c>
      <c r="L38" s="3541"/>
      <c r="M38" s="3541"/>
      <c r="N38" s="3541"/>
      <c r="O38" s="3542"/>
      <c r="P38" s="3543"/>
      <c r="Q38" s="3508"/>
      <c r="R38" s="3509"/>
      <c r="S38" s="1533"/>
      <c r="T38" s="1533"/>
    </row>
    <row r="39" spans="1:20" s="41" customFormat="1" ht="24" customHeight="1">
      <c r="A39" s="3537">
        <v>6</v>
      </c>
      <c r="B39" s="3538"/>
      <c r="C39" s="3538"/>
      <c r="D39" s="3538"/>
      <c r="E39" s="3539"/>
      <c r="F39" s="882"/>
      <c r="G39" s="3537">
        <v>6</v>
      </c>
      <c r="H39" s="3538"/>
      <c r="I39" s="3539"/>
      <c r="J39" s="882"/>
      <c r="K39" s="3540">
        <v>6</v>
      </c>
      <c r="L39" s="3541"/>
      <c r="M39" s="3541"/>
      <c r="N39" s="3541"/>
      <c r="O39" s="3542"/>
      <c r="P39" s="3543"/>
      <c r="Q39" s="3508"/>
      <c r="R39" s="3509"/>
    </row>
    <row r="40" spans="1:20" s="41" customFormat="1" ht="10.5" customHeight="1">
      <c r="A40" s="3537">
        <v>7</v>
      </c>
      <c r="B40" s="3538"/>
      <c r="C40" s="3538"/>
      <c r="D40" s="3538"/>
      <c r="E40" s="3539"/>
      <c r="F40" s="882"/>
      <c r="G40" s="3537">
        <v>7</v>
      </c>
      <c r="H40" s="3538"/>
      <c r="I40" s="3539"/>
      <c r="J40" s="1188" t="s">
        <v>3512</v>
      </c>
      <c r="K40" s="3540">
        <v>7</v>
      </c>
      <c r="L40" s="3541"/>
      <c r="M40" s="3541"/>
      <c r="N40" s="3541"/>
      <c r="O40" s="3542"/>
      <c r="P40" s="3543"/>
      <c r="Q40" s="157"/>
      <c r="R40" s="157"/>
    </row>
    <row r="41" spans="1:20" s="41" customFormat="1" ht="10.5" customHeight="1">
      <c r="A41" s="3537">
        <v>8</v>
      </c>
      <c r="B41" s="3538"/>
      <c r="C41" s="3538"/>
      <c r="D41" s="3538"/>
      <c r="E41" s="3539"/>
      <c r="F41" s="882"/>
      <c r="G41" s="3537">
        <v>8</v>
      </c>
      <c r="H41" s="3538"/>
      <c r="I41" s="3539"/>
      <c r="J41" s="882"/>
      <c r="K41" s="3540">
        <v>8</v>
      </c>
      <c r="L41" s="3541"/>
      <c r="M41" s="3541"/>
      <c r="N41" s="3541"/>
      <c r="O41" s="3542"/>
      <c r="P41" s="3543"/>
      <c r="Q41" s="157"/>
      <c r="R41" s="157"/>
    </row>
    <row r="42" spans="1:20" s="41" customFormat="1" ht="11.25" customHeight="1">
      <c r="A42" s="3537">
        <v>9</v>
      </c>
      <c r="B42" s="3538"/>
      <c r="C42" s="3538"/>
      <c r="D42" s="3538"/>
      <c r="E42" s="3539"/>
      <c r="F42" s="882"/>
      <c r="G42" s="3537">
        <v>9</v>
      </c>
      <c r="H42" s="3538"/>
      <c r="I42" s="3539"/>
      <c r="J42" s="1188" t="s">
        <v>3513</v>
      </c>
      <c r="K42" s="3540">
        <v>9</v>
      </c>
      <c r="L42" s="3541"/>
      <c r="M42" s="3541"/>
      <c r="N42" s="3541"/>
      <c r="O42" s="3542"/>
      <c r="P42" s="3543"/>
      <c r="Q42" s="157"/>
      <c r="R42" s="157"/>
    </row>
    <row r="43" spans="1:20" s="41" customFormat="1" ht="11.25" customHeight="1">
      <c r="A43" s="3537">
        <v>10</v>
      </c>
      <c r="B43" s="3538"/>
      <c r="C43" s="3538"/>
      <c r="D43" s="3538"/>
      <c r="E43" s="3539"/>
      <c r="F43" s="882"/>
      <c r="G43" s="3537">
        <v>10</v>
      </c>
      <c r="H43" s="3538"/>
      <c r="I43" s="3539"/>
      <c r="J43" s="882"/>
      <c r="K43" s="3540">
        <v>10</v>
      </c>
      <c r="L43" s="3541"/>
      <c r="M43" s="3541"/>
      <c r="N43" s="3541"/>
      <c r="O43" s="3542"/>
      <c r="P43" s="3543"/>
      <c r="Q43" s="157"/>
    </row>
    <row r="44" spans="1:20" s="41" customFormat="1" ht="11.25" customHeight="1">
      <c r="A44" s="3537">
        <v>11</v>
      </c>
      <c r="B44" s="3538"/>
      <c r="C44" s="3538"/>
      <c r="D44" s="3538"/>
      <c r="E44" s="3539"/>
      <c r="F44" s="882"/>
      <c r="G44" s="3537">
        <v>11</v>
      </c>
      <c r="H44" s="3538"/>
      <c r="I44" s="3539"/>
      <c r="J44" s="1188" t="s">
        <v>3514</v>
      </c>
      <c r="K44" s="3537">
        <v>11</v>
      </c>
      <c r="L44" s="3538"/>
      <c r="M44" s="3538"/>
      <c r="N44" s="3539"/>
      <c r="O44" s="3542"/>
      <c r="P44" s="3543"/>
      <c r="Q44" s="157"/>
      <c r="R44" s="157"/>
    </row>
    <row r="45" spans="1:20" s="41" customFormat="1" ht="11.25" customHeight="1">
      <c r="A45" s="3717">
        <v>12</v>
      </c>
      <c r="B45" s="3718"/>
      <c r="C45" s="3718"/>
      <c r="D45" s="3718"/>
      <c r="E45" s="3719"/>
      <c r="F45" s="883"/>
      <c r="G45" s="3717">
        <v>12</v>
      </c>
      <c r="H45" s="3718"/>
      <c r="I45" s="3719"/>
      <c r="J45" s="883"/>
      <c r="K45" s="3717">
        <v>12</v>
      </c>
      <c r="L45" s="3718"/>
      <c r="M45" s="3718"/>
      <c r="N45" s="3719"/>
      <c r="O45" s="3720"/>
      <c r="P45" s="3721"/>
    </row>
    <row r="46" spans="1:20" s="42" customFormat="1" ht="3" customHeight="1" thickBot="1">
      <c r="D46" s="38"/>
      <c r="E46" s="35"/>
      <c r="F46" s="887"/>
      <c r="G46" s="887"/>
      <c r="H46" s="887"/>
      <c r="I46" s="887"/>
      <c r="J46" s="897"/>
      <c r="K46" s="897"/>
      <c r="L46" s="897"/>
      <c r="M46" s="59"/>
      <c r="N46" s="887"/>
      <c r="O46" s="1750"/>
      <c r="P46" s="2"/>
    </row>
    <row r="47" spans="1:20" s="102" customFormat="1" ht="12" customHeight="1" thickBot="1">
      <c r="A47" s="152" t="s">
        <v>729</v>
      </c>
      <c r="B47" s="106" t="s">
        <v>3515</v>
      </c>
      <c r="E47" s="56"/>
      <c r="G47" s="214"/>
      <c r="H47" s="51"/>
      <c r="I47" s="44" t="s">
        <v>3419</v>
      </c>
      <c r="M47" s="887">
        <v>3</v>
      </c>
      <c r="N47" s="6"/>
      <c r="O47" s="1089">
        <f>IF(AND(O51&gt;0,O55&gt;0),"AorB?",MIN($M$47,O51+O55))</f>
        <v>2</v>
      </c>
      <c r="P47" s="1089">
        <f>IF(AND(P51&gt;0,P55&gt;0),"AorB?",MIN($M$47,P51+P55))</f>
        <v>0</v>
      </c>
      <c r="Q47" s="109" t="s">
        <v>437</v>
      </c>
      <c r="R47" s="376" t="str">
        <f>IF(OR($O47=$M47,$O47=0,$O47=""),"","* * Check Score! * *")</f>
        <v>* * Check Score! * *</v>
      </c>
    </row>
    <row r="48" spans="1:20" s="42" customFormat="1" ht="2.25" customHeight="1">
      <c r="A48" s="441"/>
      <c r="B48" s="112"/>
      <c r="E48" s="56"/>
      <c r="F48" s="42" t="s">
        <v>4483</v>
      </c>
      <c r="G48" s="87"/>
      <c r="H48" s="51"/>
      <c r="I48" s="44"/>
      <c r="K48" s="519"/>
      <c r="L48" s="886"/>
      <c r="M48" s="887"/>
      <c r="N48" s="6"/>
      <c r="O48" s="2"/>
      <c r="P48" s="2"/>
      <c r="Q48" s="109"/>
      <c r="R48" s="376"/>
    </row>
    <row r="49" spans="1:18" s="42" customFormat="1" ht="13.5" customHeight="1">
      <c r="A49" s="138" t="s">
        <v>1957</v>
      </c>
      <c r="B49" s="905" t="s">
        <v>2591</v>
      </c>
      <c r="E49" s="56"/>
      <c r="G49" s="87"/>
      <c r="H49" s="54" t="s">
        <v>4683</v>
      </c>
      <c r="J49" s="1636"/>
      <c r="K49" s="1636" t="str">
        <f>'Part I-Project Information'!$K$94</f>
        <v>40% of Units at 60% of AMI</v>
      </c>
      <c r="M49" s="887"/>
      <c r="N49" s="6"/>
      <c r="Q49" s="6"/>
      <c r="R49" s="376"/>
    </row>
    <row r="50" spans="1:18" s="102" customFormat="1" ht="9" customHeight="1">
      <c r="A50" s="138"/>
      <c r="B50" s="3510" t="s">
        <v>4477</v>
      </c>
      <c r="C50" s="3510"/>
      <c r="D50" s="3510"/>
      <c r="E50" s="3510"/>
      <c r="F50" s="3510"/>
      <c r="G50" s="3510"/>
      <c r="H50" s="3510"/>
      <c r="I50" s="3510"/>
      <c r="J50" s="3510"/>
      <c r="K50" s="3510"/>
      <c r="L50" s="3510"/>
      <c r="M50" s="887"/>
      <c r="N50" s="6"/>
      <c r="Q50" s="6"/>
      <c r="R50" s="376"/>
    </row>
    <row r="51" spans="1:18" s="102" customFormat="1" ht="13.5" customHeight="1">
      <c r="B51" s="3510"/>
      <c r="C51" s="3510"/>
      <c r="D51" s="3510"/>
      <c r="E51" s="3510"/>
      <c r="F51" s="3510"/>
      <c r="G51" s="3510"/>
      <c r="H51" s="3510"/>
      <c r="I51" s="3510"/>
      <c r="J51" s="3510"/>
      <c r="K51" s="3510"/>
      <c r="L51" s="3510"/>
      <c r="M51" s="896">
        <v>2</v>
      </c>
      <c r="N51" s="390" t="s">
        <v>1957</v>
      </c>
      <c r="O51" s="910">
        <f>MIN($M51, O52+O53)</f>
        <v>2</v>
      </c>
      <c r="P51" s="910">
        <f>MIN($M51, P52+P53)</f>
        <v>0</v>
      </c>
    </row>
    <row r="52" spans="1:18" s="102" customFormat="1" ht="13.5" customHeight="1">
      <c r="A52" s="138"/>
      <c r="B52" s="1225" t="s">
        <v>1960</v>
      </c>
      <c r="C52" s="1540" t="s">
        <v>4478</v>
      </c>
      <c r="D52" s="51"/>
      <c r="H52" s="51" t="s">
        <v>4479</v>
      </c>
      <c r="I52" s="1537"/>
      <c r="K52" s="1638">
        <f>'Part VI-Revenues &amp; Expenses'!B49</f>
        <v>57.605633802816904</v>
      </c>
      <c r="L52" s="3716" t="str">
        <f>IF(AND(O52&gt;0,O53&gt;0), "CHOOSE EITHER A OR B, NOT BOTH!", "")</f>
        <v/>
      </c>
      <c r="M52" s="1038">
        <v>2</v>
      </c>
      <c r="N52" s="174" t="s">
        <v>1960</v>
      </c>
      <c r="O52" s="2479"/>
      <c r="P52" s="529"/>
      <c r="Q52" s="1603" t="str">
        <f>IF(OR($O52=$M52,$O52=0,$O52=""),"","*CHECK!*")</f>
        <v/>
      </c>
      <c r="R52" s="984" t="s">
        <v>2667</v>
      </c>
    </row>
    <row r="53" spans="1:18" s="102" customFormat="1" ht="13.5" customHeight="1">
      <c r="A53" s="1538" t="s">
        <v>3287</v>
      </c>
      <c r="B53" s="1225" t="s">
        <v>1962</v>
      </c>
      <c r="C53" s="1540" t="s">
        <v>4480</v>
      </c>
      <c r="D53" s="51"/>
      <c r="I53" s="1537"/>
      <c r="K53" s="51"/>
      <c r="L53" s="3716"/>
      <c r="M53" s="1038">
        <v>2</v>
      </c>
      <c r="N53" s="174" t="s">
        <v>1962</v>
      </c>
      <c r="O53" s="2480">
        <v>2</v>
      </c>
      <c r="P53" s="530"/>
      <c r="Q53" s="1603" t="str">
        <f>IF(OR($O53=$M53,$O53=0,$O53=""),"","*CHECK!*")</f>
        <v/>
      </c>
      <c r="R53" s="984" t="s">
        <v>2667</v>
      </c>
    </row>
    <row r="54" spans="1:18" s="426" customFormat="1" ht="6.75" customHeight="1">
      <c r="A54" s="584"/>
      <c r="B54" s="578"/>
      <c r="C54" s="579"/>
      <c r="D54" s="139"/>
      <c r="K54" s="904"/>
      <c r="L54" s="904"/>
      <c r="M54" s="1038"/>
      <c r="N54" s="390"/>
      <c r="O54" s="909"/>
      <c r="P54" s="909"/>
    </row>
    <row r="55" spans="1:18" s="426" customFormat="1" ht="13.5" customHeight="1">
      <c r="A55" s="138" t="s">
        <v>1959</v>
      </c>
      <c r="B55" s="905" t="s">
        <v>3555</v>
      </c>
      <c r="E55" s="427"/>
      <c r="H55" s="3722" t="s">
        <v>4481</v>
      </c>
      <c r="I55" s="3723"/>
      <c r="J55" s="1543" t="s">
        <v>4482</v>
      </c>
      <c r="M55" s="896">
        <v>3</v>
      </c>
      <c r="N55" s="160" t="s">
        <v>1959</v>
      </c>
      <c r="O55" s="910">
        <f>IF(AND(O56="Yes", O57="Yes"),$M$55,0)</f>
        <v>0</v>
      </c>
      <c r="P55" s="910">
        <f>IF(AND(P56="Yes", P57="Yes"),$M$55,0)</f>
        <v>0</v>
      </c>
    </row>
    <row r="56" spans="1:18" s="426" customFormat="1" ht="13.5" customHeight="1">
      <c r="A56" s="425"/>
      <c r="B56" s="1225" t="s">
        <v>1960</v>
      </c>
      <c r="C56" s="1541">
        <v>0.3</v>
      </c>
      <c r="D56" s="965" t="s">
        <v>3556</v>
      </c>
      <c r="E56" s="427"/>
      <c r="F56" s="884"/>
      <c r="H56" s="2481"/>
      <c r="I56" s="1212"/>
      <c r="J56" s="1542">
        <f>'Part VI-Revenues &amp; Expenses'!O65</f>
        <v>84</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1960</v>
      </c>
      <c r="O56" s="906" t="str">
        <f>IF(AND(K56 &gt;= $C$56,O57="Yes"),"Yes","No")</f>
        <v>No</v>
      </c>
      <c r="P56" s="906" t="str">
        <f>IF(AND(L56 &gt;= $C$56,P57="Yes"),"Yes","No")</f>
        <v>No</v>
      </c>
    </row>
    <row r="57" spans="1:18" s="426" customFormat="1" ht="13.5" customHeight="1">
      <c r="A57" s="584"/>
      <c r="B57" s="1225" t="s">
        <v>1962</v>
      </c>
      <c r="C57" s="931" t="s">
        <v>3807</v>
      </c>
      <c r="E57" s="941"/>
      <c r="F57" s="884"/>
      <c r="I57" s="908"/>
      <c r="J57" s="908"/>
      <c r="K57" s="908"/>
      <c r="L57" s="908"/>
      <c r="M57" s="908"/>
      <c r="N57" s="390" t="s">
        <v>1962</v>
      </c>
      <c r="O57" s="2446"/>
      <c r="P57" s="536"/>
    </row>
    <row r="58" spans="1:18" s="42" customFormat="1" ht="10.5" customHeight="1">
      <c r="A58" s="41"/>
      <c r="B58" s="97" t="s">
        <v>1841</v>
      </c>
      <c r="C58" s="426"/>
      <c r="D58" s="85"/>
      <c r="E58" s="1751"/>
      <c r="F58" s="1751"/>
      <c r="G58" s="1751"/>
      <c r="H58" s="1751"/>
      <c r="I58" s="1751"/>
      <c r="J58" s="1751"/>
      <c r="K58" s="1751"/>
      <c r="L58" s="1751"/>
      <c r="M58" s="1751"/>
      <c r="N58" s="74"/>
      <c r="O58" s="70"/>
      <c r="P58" s="1747"/>
      <c r="Q58" s="426"/>
    </row>
    <row r="59" spans="1:18" s="42" customFormat="1" ht="22.5" customHeight="1">
      <c r="A59" s="3258"/>
      <c r="B59" s="3259"/>
      <c r="C59" s="3259"/>
      <c r="D59" s="3259"/>
      <c r="E59" s="3259"/>
      <c r="F59" s="3259"/>
      <c r="G59" s="3259"/>
      <c r="H59" s="3259"/>
      <c r="I59" s="3259"/>
      <c r="J59" s="3259"/>
      <c r="K59" s="3259"/>
      <c r="L59" s="3259"/>
      <c r="M59" s="3259"/>
      <c r="N59" s="3259"/>
      <c r="O59" s="3259"/>
      <c r="P59" s="3260"/>
      <c r="Q59" s="445"/>
    </row>
    <row r="60" spans="1:18" ht="7.5" customHeight="1" thickBot="1"/>
    <row r="61" spans="1:18" s="42" customFormat="1" ht="12.6" customHeight="1" thickBot="1">
      <c r="A61" s="152" t="s">
        <v>731</v>
      </c>
      <c r="B61" s="105" t="s">
        <v>3913</v>
      </c>
      <c r="D61" s="40"/>
      <c r="I61" s="3748" t="s">
        <v>3658</v>
      </c>
      <c r="J61" s="3748"/>
      <c r="K61" s="3748"/>
      <c r="L61" s="1022"/>
      <c r="M61" s="1747">
        <v>10</v>
      </c>
      <c r="N61" s="463"/>
      <c r="O61" s="1089">
        <f>IF(OR($M64-O65&lt;0,O64-O65&lt;0),0,IF(O64&lt;=$M64,O64-O65,IF(O64&gt;$M64,$M64-O65,0)))</f>
        <v>10</v>
      </c>
      <c r="P61" s="1089">
        <f>IF(OR($M64-P65&lt;0,P64-P65&lt;0),0,IF(P64&lt;=$M64,P64-P65,IF(P64&gt;$M64,$M64-P65,0)))</f>
        <v>0</v>
      </c>
      <c r="Q61" s="109" t="s">
        <v>437</v>
      </c>
    </row>
    <row r="62" spans="1:18" s="42" customFormat="1" ht="3" customHeight="1">
      <c r="A62" s="41"/>
      <c r="D62" s="38"/>
      <c r="E62" s="35"/>
      <c r="F62" s="887"/>
      <c r="G62" s="887"/>
      <c r="H62" s="1022"/>
      <c r="I62" s="1022"/>
      <c r="J62" s="1022"/>
      <c r="K62" s="1022"/>
      <c r="L62" s="1022"/>
      <c r="M62" s="59"/>
      <c r="N62" s="887"/>
      <c r="O62" s="1750"/>
      <c r="P62" s="2"/>
    </row>
    <row r="63" spans="1:18" s="102" customFormat="1" ht="12" customHeight="1">
      <c r="A63" s="138"/>
      <c r="B63" s="35" t="s">
        <v>3725</v>
      </c>
      <c r="D63" s="32"/>
      <c r="N63" s="463"/>
      <c r="O63" s="2444" t="s">
        <v>2933</v>
      </c>
      <c r="P63" s="534"/>
    </row>
    <row r="64" spans="1:18" s="102" customFormat="1" ht="12" customHeight="1">
      <c r="A64" s="138" t="s">
        <v>1957</v>
      </c>
      <c r="B64" s="165" t="s">
        <v>1848</v>
      </c>
      <c r="C64" s="3"/>
      <c r="D64" s="3"/>
      <c r="F64" s="296"/>
      <c r="H64" s="851" t="s">
        <v>2679</v>
      </c>
      <c r="I64" s="3685" t="s">
        <v>3972</v>
      </c>
      <c r="J64" s="3685"/>
      <c r="K64" s="3685"/>
      <c r="L64" s="3685"/>
      <c r="M64" s="72">
        <v>10</v>
      </c>
      <c r="N64" s="174" t="s">
        <v>1957</v>
      </c>
      <c r="O64" s="2479">
        <v>10</v>
      </c>
      <c r="P64" s="529"/>
      <c r="Q64" s="1603" t="str">
        <f>IF(OR($O64=$M64,$O64=0,$O64=""),"","*CHECK!*")</f>
        <v/>
      </c>
    </row>
    <row r="65" spans="1:21" s="102" customFormat="1" ht="12.6" customHeight="1">
      <c r="A65" s="138" t="s">
        <v>1959</v>
      </c>
      <c r="B65" s="165" t="s">
        <v>3716</v>
      </c>
      <c r="D65" s="1112"/>
      <c r="F65" s="1637"/>
      <c r="H65" s="851" t="s">
        <v>3829</v>
      </c>
      <c r="I65" s="3685"/>
      <c r="J65" s="3685"/>
      <c r="K65" s="3685"/>
      <c r="L65" s="3685"/>
      <c r="M65" s="1760" t="s">
        <v>1223</v>
      </c>
      <c r="N65" s="463" t="s">
        <v>1959</v>
      </c>
      <c r="O65" s="2480"/>
      <c r="P65" s="530"/>
    </row>
    <row r="66" spans="1:21" s="42" customFormat="1" ht="11.25" customHeight="1" thickBot="1">
      <c r="A66" s="41"/>
      <c r="B66" s="1205" t="s">
        <v>3645</v>
      </c>
      <c r="C66" s="41"/>
      <c r="D66" s="47"/>
      <c r="E66" s="47"/>
      <c r="F66" s="47"/>
      <c r="G66" s="47"/>
      <c r="H66" s="35"/>
      <c r="I66" s="3747"/>
      <c r="J66" s="3747"/>
      <c r="K66" s="3747"/>
      <c r="L66" s="3747"/>
      <c r="M66" s="45"/>
      <c r="N66" s="61"/>
      <c r="O66" s="2"/>
      <c r="P66" s="1750"/>
    </row>
    <row r="67" spans="1:21" s="42" customFormat="1" ht="131.25" customHeight="1" thickTop="1" thickBot="1">
      <c r="A67" s="3589" t="s">
        <v>5010</v>
      </c>
      <c r="B67" s="3590"/>
      <c r="C67" s="3590"/>
      <c r="D67" s="3590"/>
      <c r="E67" s="3590"/>
      <c r="F67" s="3590"/>
      <c r="G67" s="3590"/>
      <c r="H67" s="3590"/>
      <c r="I67" s="3590"/>
      <c r="J67" s="3590"/>
      <c r="K67" s="3590"/>
      <c r="L67" s="3590"/>
      <c r="M67" s="3590"/>
      <c r="N67" s="3590"/>
      <c r="O67" s="3590"/>
      <c r="P67" s="3591"/>
      <c r="Q67" s="1073" t="s">
        <v>1239</v>
      </c>
      <c r="R67" s="446"/>
    </row>
    <row r="68" spans="1:21" s="42" customFormat="1" ht="14.4" customHeight="1" thickTop="1">
      <c r="A68" s="41"/>
      <c r="B68" s="66" t="s">
        <v>1841</v>
      </c>
      <c r="C68" s="41"/>
      <c r="D68" s="136"/>
      <c r="E68" s="1751"/>
      <c r="F68" s="1751"/>
      <c r="G68" s="1751"/>
      <c r="H68" s="1751"/>
      <c r="I68" s="1751"/>
      <c r="J68" s="1751"/>
      <c r="K68" s="1751"/>
      <c r="L68" s="1751"/>
      <c r="M68" s="1751"/>
      <c r="N68" s="74"/>
      <c r="O68" s="70"/>
      <c r="P68" s="1747"/>
      <c r="Q68" s="426"/>
      <c r="R68" s="426"/>
    </row>
    <row r="69" spans="1:21" s="42" customFormat="1" ht="72" customHeight="1">
      <c r="A69" s="3258"/>
      <c r="B69" s="3259"/>
      <c r="C69" s="3259"/>
      <c r="D69" s="3259"/>
      <c r="E69" s="3259"/>
      <c r="F69" s="3259"/>
      <c r="G69" s="3259"/>
      <c r="H69" s="3259"/>
      <c r="I69" s="3259"/>
      <c r="J69" s="3259"/>
      <c r="K69" s="3259"/>
      <c r="L69" s="3259"/>
      <c r="M69" s="3259"/>
      <c r="N69" s="3259"/>
      <c r="O69" s="3259"/>
      <c r="P69" s="3260"/>
      <c r="Q69" s="445"/>
      <c r="R69" s="446"/>
    </row>
    <row r="70" spans="1:21" ht="7.5" customHeight="1" thickBot="1">
      <c r="M70" s="32"/>
      <c r="N70" s="114"/>
      <c r="O70" s="150"/>
      <c r="P70" s="150"/>
    </row>
    <row r="71" spans="1:21" s="42" customFormat="1" ht="12.6" customHeight="1" thickBot="1">
      <c r="A71" s="152" t="s">
        <v>1770</v>
      </c>
      <c r="B71" s="105" t="s">
        <v>2596</v>
      </c>
      <c r="D71" s="40"/>
      <c r="K71" s="1019" t="s">
        <v>1853</v>
      </c>
      <c r="M71" s="1747">
        <v>6</v>
      </c>
      <c r="N71" s="463"/>
      <c r="O71" s="1089">
        <f>IF($J$72="Flexible",MIN($M71,MAX(O86,O92)),IF(AND($J$72="Rural",O100&gt;0),MIN($M100,O100),0))</f>
        <v>3</v>
      </c>
      <c r="P71" s="1089">
        <f>IF($J$72="Flexible",MIN($M71,MAX(P86,P92)),IF(AND($J$72="Rural",P100&gt;0),MIN($M100,P100),0))</f>
        <v>0</v>
      </c>
      <c r="Q71" s="109" t="s">
        <v>437</v>
      </c>
      <c r="R71" s="3750" t="s">
        <v>4685</v>
      </c>
      <c r="S71" s="3750"/>
      <c r="T71" s="3750"/>
      <c r="U71" s="3750"/>
    </row>
    <row r="72" spans="1:21" s="42" customFormat="1" ht="17.25" customHeight="1">
      <c r="A72" s="152"/>
      <c r="B72" s="110" t="s">
        <v>3808</v>
      </c>
      <c r="D72" s="40"/>
      <c r="H72" s="165" t="s">
        <v>2748</v>
      </c>
      <c r="I72" s="515"/>
      <c r="J72" s="513" t="str">
        <f>'Part I-Project Information'!$H$105</f>
        <v>Flexible</v>
      </c>
      <c r="K72" s="47"/>
      <c r="M72" s="1747"/>
      <c r="N72" s="463"/>
      <c r="O72" s="1015" t="s">
        <v>3516</v>
      </c>
      <c r="P72" s="1015" t="s">
        <v>3517</v>
      </c>
      <c r="Q72" s="109"/>
      <c r="R72" s="3750"/>
      <c r="S72" s="3750"/>
      <c r="T72" s="3750"/>
      <c r="U72" s="3750"/>
    </row>
    <row r="73" spans="1:21" s="42" customFormat="1" ht="11.25" customHeight="1">
      <c r="A73" s="152"/>
      <c r="B73" s="374" t="s">
        <v>1960</v>
      </c>
      <c r="C73" s="35" t="s">
        <v>4488</v>
      </c>
      <c r="D73" s="1112"/>
      <c r="E73" s="102"/>
      <c r="F73" s="102"/>
      <c r="G73" s="102"/>
      <c r="H73" s="44"/>
      <c r="I73" s="48"/>
      <c r="J73" s="47"/>
      <c r="K73" s="47"/>
      <c r="L73" s="102"/>
      <c r="M73" s="1747"/>
      <c r="N73" s="463"/>
      <c r="O73" s="2444" t="s">
        <v>2933</v>
      </c>
      <c r="P73" s="534"/>
      <c r="Q73" s="109"/>
      <c r="R73" s="3750"/>
      <c r="S73" s="3750"/>
      <c r="T73" s="3750"/>
      <c r="U73" s="3750"/>
    </row>
    <row r="74" spans="1:21" s="42" customFormat="1" ht="11.25" customHeight="1">
      <c r="A74" s="152"/>
      <c r="B74" s="374" t="s">
        <v>1962</v>
      </c>
      <c r="C74" s="35" t="s">
        <v>4489</v>
      </c>
      <c r="D74" s="1112"/>
      <c r="E74" s="102"/>
      <c r="F74" s="102"/>
      <c r="G74" s="102"/>
      <c r="H74" s="44"/>
      <c r="I74" s="48"/>
      <c r="J74" s="47"/>
      <c r="K74" s="47"/>
      <c r="L74" s="102"/>
      <c r="M74" s="102"/>
      <c r="N74" s="463"/>
      <c r="O74" s="2445" t="s">
        <v>2933</v>
      </c>
      <c r="P74" s="535"/>
      <c r="Q74" s="109"/>
      <c r="R74" s="3750"/>
      <c r="S74" s="3750"/>
      <c r="T74" s="3750"/>
      <c r="U74" s="3750"/>
    </row>
    <row r="75" spans="1:21" s="42" customFormat="1" ht="11.25" customHeight="1">
      <c r="A75" s="152"/>
      <c r="B75" s="374" t="s">
        <v>2501</v>
      </c>
      <c r="C75" s="35" t="s">
        <v>4490</v>
      </c>
      <c r="D75" s="1112"/>
      <c r="E75" s="102"/>
      <c r="F75" s="102"/>
      <c r="G75" s="102"/>
      <c r="H75" s="44"/>
      <c r="I75" s="48"/>
      <c r="J75" s="47"/>
      <c r="K75" s="47"/>
      <c r="L75" s="102"/>
      <c r="M75" s="102"/>
      <c r="N75" s="463"/>
      <c r="O75" s="2445" t="s">
        <v>2933</v>
      </c>
      <c r="P75" s="535"/>
      <c r="Q75" s="109"/>
      <c r="R75" s="3750"/>
      <c r="S75" s="3750"/>
      <c r="T75" s="3750"/>
      <c r="U75" s="3750"/>
    </row>
    <row r="76" spans="1:21" s="42" customFormat="1" ht="11.25" customHeight="1">
      <c r="A76" s="152"/>
      <c r="B76" s="374" t="s">
        <v>1209</v>
      </c>
      <c r="C76" s="35" t="s">
        <v>4484</v>
      </c>
      <c r="D76" s="1112"/>
      <c r="E76" s="102"/>
      <c r="F76" s="102"/>
      <c r="G76" s="102"/>
      <c r="H76" s="44"/>
      <c r="I76" s="48"/>
      <c r="J76" s="47"/>
      <c r="K76" s="47"/>
      <c r="L76" s="102"/>
      <c r="M76" s="102"/>
      <c r="N76" s="463"/>
      <c r="O76" s="2446" t="s">
        <v>4962</v>
      </c>
      <c r="P76" s="536"/>
      <c r="Q76" s="109"/>
      <c r="R76" s="3750"/>
      <c r="S76" s="3750"/>
      <c r="T76" s="3750"/>
      <c r="U76" s="3750"/>
    </row>
    <row r="77" spans="1:21" s="42" customFormat="1" ht="3" customHeight="1">
      <c r="A77" s="152"/>
      <c r="B77" s="105"/>
      <c r="D77" s="40"/>
      <c r="H77" s="44"/>
      <c r="I77" s="48"/>
      <c r="J77" s="47"/>
      <c r="K77" s="47"/>
      <c r="M77" s="1747"/>
      <c r="N77" s="463"/>
      <c r="O77" s="2"/>
      <c r="P77" s="2"/>
      <c r="Q77" s="109"/>
      <c r="R77" s="3750"/>
      <c r="S77" s="3750"/>
      <c r="T77" s="3750"/>
      <c r="U77" s="3750"/>
    </row>
    <row r="78" spans="1:21" s="42" customFormat="1" ht="13.5" customHeight="1">
      <c r="A78" s="152"/>
      <c r="B78" s="110" t="s">
        <v>3814</v>
      </c>
      <c r="D78" s="40"/>
      <c r="F78" s="3546" t="s">
        <v>3614</v>
      </c>
      <c r="G78" s="3546"/>
      <c r="H78" s="3546"/>
      <c r="I78" s="3546"/>
      <c r="J78" s="3546" t="s">
        <v>3615</v>
      </c>
      <c r="K78" s="3546"/>
      <c r="L78" s="3546"/>
      <c r="M78" s="3546"/>
      <c r="N78" s="463"/>
      <c r="O78" s="3741" t="s">
        <v>4684</v>
      </c>
      <c r="P78" s="3742"/>
      <c r="Q78" s="109"/>
      <c r="R78" s="3750"/>
      <c r="S78" s="3750"/>
      <c r="T78" s="3750"/>
      <c r="U78" s="3750"/>
    </row>
    <row r="79" spans="1:21" s="42" customFormat="1" ht="12.75" customHeight="1">
      <c r="A79" s="152"/>
      <c r="C79" s="490" t="s">
        <v>3813</v>
      </c>
      <c r="D79" s="608"/>
      <c r="E79" s="269"/>
      <c r="F79" s="3743">
        <v>33.709698000000003</v>
      </c>
      <c r="G79" s="3744"/>
      <c r="H79" s="3745"/>
      <c r="I79" s="3746"/>
      <c r="J79" s="3743">
        <v>-84.384882000000005</v>
      </c>
      <c r="K79" s="3744"/>
      <c r="L79" s="3745"/>
      <c r="M79" s="3746"/>
      <c r="N79" s="463"/>
      <c r="Q79" s="109"/>
      <c r="R79" s="3750"/>
      <c r="S79" s="3750"/>
      <c r="T79" s="3750"/>
      <c r="U79" s="3750"/>
    </row>
    <row r="80" spans="1:21" s="42" customFormat="1" ht="12.75" customHeight="1">
      <c r="A80" s="3681" t="s">
        <v>3948</v>
      </c>
      <c r="B80" s="3681"/>
      <c r="D80" s="1159" t="s">
        <v>3815</v>
      </c>
      <c r="E80" s="269"/>
      <c r="F80" s="3547">
        <v>33.711246000000003</v>
      </c>
      <c r="G80" s="3548"/>
      <c r="H80" s="3549"/>
      <c r="I80" s="3550"/>
      <c r="J80" s="3547">
        <v>-84.382003999999995</v>
      </c>
      <c r="K80" s="3548"/>
      <c r="L80" s="3549"/>
      <c r="M80" s="3550"/>
      <c r="N80" s="463"/>
      <c r="O80" s="2482">
        <v>0.25</v>
      </c>
      <c r="P80" s="1166"/>
      <c r="Q80" s="109"/>
      <c r="R80" s="3750"/>
      <c r="S80" s="3750"/>
      <c r="T80" s="3750"/>
      <c r="U80" s="3750"/>
    </row>
    <row r="81" spans="1:21" s="42" customFormat="1" ht="12.75" customHeight="1">
      <c r="A81" s="3681"/>
      <c r="B81" s="3681"/>
      <c r="C81" s="490" t="s">
        <v>3911</v>
      </c>
      <c r="D81" s="608"/>
      <c r="E81" s="269"/>
      <c r="F81" s="3758"/>
      <c r="G81" s="3759"/>
      <c r="H81" s="3764"/>
      <c r="I81" s="3765"/>
      <c r="J81" s="3758"/>
      <c r="K81" s="3759"/>
      <c r="L81" s="3764"/>
      <c r="M81" s="3765"/>
      <c r="N81" s="463"/>
      <c r="O81" s="463"/>
      <c r="P81" s="463"/>
      <c r="Q81" s="109"/>
      <c r="R81" s="3750"/>
      <c r="S81" s="3750"/>
      <c r="T81" s="3750"/>
      <c r="U81" s="3750"/>
    </row>
    <row r="82" spans="1:21" s="42" customFormat="1" ht="12.75" customHeight="1">
      <c r="A82" s="3681"/>
      <c r="B82" s="3681"/>
      <c r="E82" s="1510" t="s">
        <v>3910</v>
      </c>
      <c r="F82" s="3762"/>
      <c r="G82" s="3763"/>
      <c r="H82" s="3724"/>
      <c r="I82" s="3725"/>
      <c r="J82" s="3762"/>
      <c r="K82" s="3763"/>
      <c r="L82" s="3724"/>
      <c r="M82" s="3725"/>
      <c r="N82" s="463"/>
      <c r="O82" s="2482"/>
      <c r="P82" s="1166"/>
      <c r="Q82" s="109"/>
      <c r="R82" s="3750"/>
      <c r="S82" s="3750"/>
      <c r="T82" s="3750"/>
      <c r="U82" s="3750"/>
    </row>
    <row r="83" spans="1:21" s="42" customFormat="1" ht="9" customHeight="1">
      <c r="A83" s="152"/>
      <c r="B83" s="105"/>
      <c r="D83" s="40"/>
      <c r="H83" s="44"/>
      <c r="I83" s="48"/>
      <c r="J83" s="47"/>
      <c r="K83" s="47"/>
      <c r="M83" s="1747"/>
      <c r="N83" s="463"/>
      <c r="O83" s="2"/>
      <c r="P83" s="2"/>
      <c r="Q83" s="109"/>
      <c r="R83" s="1111"/>
      <c r="S83" s="1111"/>
      <c r="T83" s="1111"/>
      <c r="U83" s="1111"/>
    </row>
    <row r="84" spans="1:21" s="42" customFormat="1" ht="12.6" customHeight="1">
      <c r="A84" s="514" t="s">
        <v>2739</v>
      </c>
      <c r="B84" s="105"/>
      <c r="D84" s="40"/>
      <c r="F84" s="60" t="s">
        <v>3646</v>
      </c>
      <c r="M84" s="1747"/>
      <c r="N84" s="1747"/>
      <c r="O84" s="1747"/>
      <c r="P84" s="1747"/>
      <c r="Q84" s="109"/>
      <c r="R84" s="1111"/>
      <c r="S84" s="1111"/>
      <c r="T84" s="1111"/>
      <c r="U84" s="1111"/>
    </row>
    <row r="85" spans="1:21" s="42" customFormat="1" ht="2.25" customHeight="1">
      <c r="A85" s="514"/>
      <c r="B85" s="105"/>
      <c r="D85" s="40"/>
      <c r="F85" s="60"/>
      <c r="M85" s="1747"/>
      <c r="N85" s="1747"/>
      <c r="O85" s="1747"/>
      <c r="P85" s="1747"/>
      <c r="Q85" s="109"/>
      <c r="R85" s="1111"/>
      <c r="S85" s="1111"/>
      <c r="T85" s="1111"/>
      <c r="U85" s="1111"/>
    </row>
    <row r="86" spans="1:21" s="42" customFormat="1" ht="12.6" customHeight="1">
      <c r="A86" s="143" t="s">
        <v>1957</v>
      </c>
      <c r="B86" s="165" t="s">
        <v>3638</v>
      </c>
      <c r="D86" s="40"/>
      <c r="F86" s="44" t="s">
        <v>3727</v>
      </c>
      <c r="M86" s="1747">
        <v>6</v>
      </c>
      <c r="N86" s="390" t="s">
        <v>1957</v>
      </c>
      <c r="O86" s="1018">
        <f>IF($J$72="Flexible",MIN($M86,O87+O88+O89),0)</f>
        <v>0</v>
      </c>
      <c r="P86" s="1018">
        <f>IF($J$72="Flexible",MIN($M86,P87+P88+P89),0)</f>
        <v>0</v>
      </c>
      <c r="Q86" s="109"/>
    </row>
    <row r="87" spans="1:21" s="412" customFormat="1" ht="23.25" customHeight="1">
      <c r="B87" s="440" t="s">
        <v>1960</v>
      </c>
      <c r="C87" s="3320" t="s">
        <v>4485</v>
      </c>
      <c r="D87" s="3320"/>
      <c r="E87" s="3320"/>
      <c r="F87" s="3320"/>
      <c r="G87" s="3320"/>
      <c r="H87" s="3320"/>
      <c r="I87" s="3551" t="s">
        <v>3908</v>
      </c>
      <c r="J87" s="3552"/>
      <c r="K87" s="3552"/>
      <c r="L87" s="3553"/>
      <c r="M87" s="510">
        <v>5</v>
      </c>
      <c r="N87" s="478" t="s">
        <v>1960</v>
      </c>
      <c r="O87" s="2483"/>
      <c r="P87" s="861"/>
      <c r="Q87" s="1603" t="str">
        <f>IF(OR($O87=$M87,$O87=0,$O87=""),"","*CHECK!*")</f>
        <v/>
      </c>
      <c r="R87" s="984" t="s">
        <v>2667</v>
      </c>
    </row>
    <row r="88" spans="1:21" s="412" customFormat="1" ht="12" customHeight="1">
      <c r="A88" s="584" t="s">
        <v>1338</v>
      </c>
      <c r="B88" s="440" t="s">
        <v>1962</v>
      </c>
      <c r="C88" s="391" t="s">
        <v>3809</v>
      </c>
      <c r="D88" s="391"/>
      <c r="E88" s="391"/>
      <c r="F88" s="391"/>
      <c r="G88" s="391"/>
      <c r="H88" s="1760" t="str">
        <f>IF(AND(O88&gt;0,O87&gt;0),"Pick A1 or A2!","")</f>
        <v/>
      </c>
      <c r="I88" s="3554"/>
      <c r="J88" s="3555"/>
      <c r="K88" s="3555"/>
      <c r="L88" s="3556"/>
      <c r="M88" s="72">
        <v>4</v>
      </c>
      <c r="N88" s="435" t="s">
        <v>1962</v>
      </c>
      <c r="O88" s="2479"/>
      <c r="P88" s="529"/>
      <c r="Q88" s="1603" t="str">
        <f>IF(OR($O88=$M88,$O88=0,$O88=""),"","*CHECK!*")</f>
        <v/>
      </c>
      <c r="R88" s="984" t="s">
        <v>2667</v>
      </c>
    </row>
    <row r="89" spans="1:21" s="412" customFormat="1" ht="12" customHeight="1">
      <c r="B89" s="440" t="s">
        <v>2501</v>
      </c>
      <c r="C89" s="391" t="s">
        <v>3639</v>
      </c>
      <c r="D89" s="391"/>
      <c r="E89" s="391"/>
      <c r="F89" s="391"/>
      <c r="I89" s="3554"/>
      <c r="J89" s="3555"/>
      <c r="K89" s="3555"/>
      <c r="L89" s="3556"/>
      <c r="M89" s="72">
        <v>1</v>
      </c>
      <c r="N89" s="435" t="s">
        <v>2501</v>
      </c>
      <c r="O89" s="2480"/>
      <c r="P89" s="530"/>
      <c r="Q89" s="1603" t="str">
        <f>IF(OR($O89=$M89,$O89=0,$O89=""),"","*CHECK!*")</f>
        <v/>
      </c>
      <c r="R89" s="984" t="s">
        <v>2667</v>
      </c>
    </row>
    <row r="90" spans="1:21" s="412" customFormat="1" ht="12" customHeight="1">
      <c r="B90" s="440"/>
      <c r="C90" s="851" t="s">
        <v>3909</v>
      </c>
      <c r="D90" s="391"/>
      <c r="E90" s="391"/>
      <c r="F90" s="1545" t="str">
        <f>'Part I-Project Information'!$H$82</f>
        <v>Family</v>
      </c>
      <c r="G90" s="851"/>
      <c r="H90" s="1545"/>
      <c r="I90" s="3554"/>
      <c r="J90" s="3555"/>
      <c r="K90" s="3555"/>
      <c r="L90" s="3556"/>
      <c r="M90" s="102"/>
      <c r="N90" s="102"/>
      <c r="O90" s="102"/>
      <c r="P90" s="102"/>
      <c r="Q90" s="1020"/>
      <c r="R90" s="1133"/>
    </row>
    <row r="91" spans="1:21" s="412" customFormat="1" ht="12" customHeight="1">
      <c r="B91" s="440"/>
      <c r="C91" s="851"/>
      <c r="D91" s="391"/>
      <c r="E91" s="391"/>
      <c r="F91" s="1545"/>
      <c r="G91" s="851"/>
      <c r="H91" s="1545"/>
      <c r="I91" s="3557"/>
      <c r="J91" s="3558"/>
      <c r="K91" s="3558"/>
      <c r="L91" s="3559"/>
      <c r="M91" s="102"/>
      <c r="N91" s="102"/>
      <c r="O91" s="102"/>
      <c r="P91" s="102"/>
      <c r="Q91" s="1020"/>
      <c r="R91" s="1133"/>
    </row>
    <row r="92" spans="1:21" s="412" customFormat="1" ht="12" customHeight="1">
      <c r="A92" s="143" t="s">
        <v>1959</v>
      </c>
      <c r="B92" s="1132" t="s">
        <v>3640</v>
      </c>
      <c r="C92" s="632"/>
      <c r="D92" s="632"/>
      <c r="E92" s="632"/>
      <c r="F92" s="1109" t="s">
        <v>3726</v>
      </c>
      <c r="I92" s="3766" t="s">
        <v>4967</v>
      </c>
      <c r="J92" s="3767"/>
      <c r="K92" s="3767"/>
      <c r="L92" s="3726">
        <v>4048485000</v>
      </c>
      <c r="M92" s="1747">
        <v>3</v>
      </c>
      <c r="N92" s="463" t="s">
        <v>1959</v>
      </c>
      <c r="O92" s="1018">
        <f>IF($J$72="Flexible",MIN($M92,O95+O96+O97),0)</f>
        <v>3</v>
      </c>
      <c r="P92" s="1018">
        <f>IF($J$72="Flexible",MIN($M92,P95+P96+P97),0)</f>
        <v>0</v>
      </c>
      <c r="Q92" s="511"/>
      <c r="R92" s="389"/>
    </row>
    <row r="93" spans="1:21" s="42" customFormat="1" ht="11.25" customHeight="1">
      <c r="A93" s="152"/>
      <c r="B93" s="387" t="s">
        <v>3668</v>
      </c>
      <c r="C93" s="172" t="s">
        <v>4487</v>
      </c>
      <c r="D93" s="1112"/>
      <c r="E93" s="102"/>
      <c r="F93" s="102"/>
      <c r="G93" s="102"/>
      <c r="H93" s="44"/>
      <c r="I93" s="3768"/>
      <c r="J93" s="3769"/>
      <c r="K93" s="3769"/>
      <c r="L93" s="3727"/>
      <c r="M93" s="102"/>
      <c r="N93" s="387" t="s">
        <v>3668</v>
      </c>
      <c r="O93" s="2453" t="s">
        <v>2933</v>
      </c>
      <c r="P93" s="940"/>
      <c r="Q93" s="109"/>
      <c r="R93" s="389"/>
      <c r="S93" s="412"/>
      <c r="T93" s="412"/>
      <c r="U93" s="412"/>
    </row>
    <row r="94" spans="1:21" s="42" customFormat="1" ht="11.25" customHeight="1">
      <c r="A94" s="152"/>
      <c r="B94" s="387" t="s">
        <v>3669</v>
      </c>
      <c r="C94" s="172" t="s">
        <v>4486</v>
      </c>
      <c r="D94" s="1112"/>
      <c r="E94" s="102"/>
      <c r="F94" s="102"/>
      <c r="G94" s="102"/>
      <c r="H94" s="44"/>
      <c r="I94" s="3737" t="s">
        <v>4968</v>
      </c>
      <c r="J94" s="3738"/>
      <c r="K94" s="3738"/>
      <c r="L94" s="3739"/>
      <c r="M94" s="102"/>
      <c r="N94" s="387" t="s">
        <v>3669</v>
      </c>
      <c r="O94" s="2446" t="s">
        <v>2933</v>
      </c>
      <c r="P94" s="536"/>
      <c r="Q94" s="109"/>
      <c r="R94" s="389"/>
      <c r="S94" s="412"/>
      <c r="T94" s="412"/>
      <c r="U94" s="412"/>
    </row>
    <row r="95" spans="1:21" s="412" customFormat="1" ht="12" customHeight="1">
      <c r="A95" s="138"/>
      <c r="B95" s="1639" t="s">
        <v>1960</v>
      </c>
      <c r="C95" s="3468" t="s">
        <v>3810</v>
      </c>
      <c r="D95" s="3468"/>
      <c r="E95" s="3468"/>
      <c r="F95" s="3468"/>
      <c r="G95" s="3468"/>
      <c r="H95" s="3731"/>
      <c r="I95" s="3616"/>
      <c r="J95" s="3617"/>
      <c r="K95" s="3617"/>
      <c r="L95" s="3618"/>
      <c r="M95" s="72">
        <v>3</v>
      </c>
      <c r="N95" s="435" t="s">
        <v>1960</v>
      </c>
      <c r="O95" s="2479">
        <v>3</v>
      </c>
      <c r="P95" s="528"/>
      <c r="Q95" s="1020" t="str">
        <f>IF(OR($O95=$M95,$O95=0,$O95=""),"","*CHECK!*")</f>
        <v/>
      </c>
      <c r="R95" s="1133" t="s">
        <v>2667</v>
      </c>
    </row>
    <row r="96" spans="1:21" s="42" customFormat="1" ht="12" customHeight="1">
      <c r="A96" s="584" t="s">
        <v>1338</v>
      </c>
      <c r="B96" s="1639" t="s">
        <v>1962</v>
      </c>
      <c r="C96" s="3468" t="s">
        <v>3811</v>
      </c>
      <c r="D96" s="3468"/>
      <c r="E96" s="3468"/>
      <c r="F96" s="3468"/>
      <c r="G96" s="3468"/>
      <c r="H96" s="3731"/>
      <c r="I96" s="3737" t="s">
        <v>4969</v>
      </c>
      <c r="J96" s="3738"/>
      <c r="K96" s="3738"/>
      <c r="L96" s="3739"/>
      <c r="M96" s="72">
        <v>2</v>
      </c>
      <c r="N96" s="435" t="s">
        <v>1962</v>
      </c>
      <c r="O96" s="2479"/>
      <c r="P96" s="529"/>
      <c r="Q96" s="1020" t="str">
        <f>IF(OR($O96=$M96,$O96=0,$O96=""),"","*CHECK!*")</f>
        <v/>
      </c>
      <c r="R96" s="1133" t="s">
        <v>2667</v>
      </c>
    </row>
    <row r="97" spans="1:18" s="42" customFormat="1" ht="14.25" customHeight="1">
      <c r="A97" s="584" t="s">
        <v>1338</v>
      </c>
      <c r="B97" s="1639" t="s">
        <v>2501</v>
      </c>
      <c r="C97" s="3468" t="s">
        <v>3812</v>
      </c>
      <c r="D97" s="3468"/>
      <c r="E97" s="3468"/>
      <c r="F97" s="3468"/>
      <c r="G97" s="3468"/>
      <c r="H97" s="3731"/>
      <c r="I97" s="3616"/>
      <c r="J97" s="3617"/>
      <c r="K97" s="3617"/>
      <c r="L97" s="3618"/>
      <c r="M97" s="72">
        <v>1</v>
      </c>
      <c r="N97" s="435" t="s">
        <v>2501</v>
      </c>
      <c r="O97" s="2480"/>
      <c r="P97" s="530"/>
      <c r="Q97" s="1020" t="str">
        <f>IF(OR($O97=$M97,$O97=0,$O97=""),"","*CHECK!*")</f>
        <v/>
      </c>
      <c r="R97" s="1133" t="s">
        <v>2667</v>
      </c>
    </row>
    <row r="98" spans="1:18" s="42" customFormat="1" ht="14.25" customHeight="1">
      <c r="A98" s="1110"/>
      <c r="B98" s="1530"/>
      <c r="C98" s="1753"/>
      <c r="D98" s="1753"/>
      <c r="E98" s="1753"/>
      <c r="F98" s="3444" t="str">
        <f>IF(OR(AND(O95&gt;0,O96&gt;0,O97&gt;0),AND(O95&gt;0,O96&gt;0),AND(O95&gt;0,O97&gt;0),AND(O96&gt;0,O97&gt;0)),"Choose only one option: B1 or B2 or B3!","")</f>
        <v/>
      </c>
      <c r="G98" s="3444"/>
      <c r="H98" s="3736"/>
      <c r="I98" s="3737" t="s">
        <v>4970</v>
      </c>
      <c r="J98" s="3738"/>
      <c r="K98" s="3738"/>
      <c r="L98" s="3739"/>
      <c r="M98" s="102"/>
      <c r="N98" s="102"/>
      <c r="O98" s="102"/>
      <c r="P98" s="102"/>
      <c r="Q98" s="1020"/>
      <c r="R98" s="1133"/>
    </row>
    <row r="99" spans="1:18" s="42" customFormat="1" ht="12.6" customHeight="1">
      <c r="A99" s="514" t="s">
        <v>2741</v>
      </c>
      <c r="B99" s="165"/>
      <c r="E99" s="40"/>
      <c r="I99" s="3619"/>
      <c r="J99" s="3620"/>
      <c r="K99" s="3620"/>
      <c r="L99" s="3621"/>
      <c r="M99" s="72"/>
      <c r="N99" s="72"/>
      <c r="O99" s="72"/>
      <c r="P99" s="72"/>
      <c r="Q99" s="376"/>
      <c r="R99" s="376"/>
    </row>
    <row r="100" spans="1:18" s="102" customFormat="1" ht="12" customHeight="1">
      <c r="A100" s="138"/>
      <c r="B100" s="440" t="s">
        <v>1209</v>
      </c>
      <c r="C100" s="3515" t="s">
        <v>4595</v>
      </c>
      <c r="D100" s="3515"/>
      <c r="E100" s="3515"/>
      <c r="F100" s="3515"/>
      <c r="G100" s="3515"/>
      <c r="H100" s="3515"/>
      <c r="I100" s="165"/>
      <c r="J100" s="165"/>
      <c r="K100" s="165"/>
      <c r="L100" s="165"/>
      <c r="M100" s="72">
        <v>2</v>
      </c>
      <c r="N100" s="435" t="s">
        <v>1209</v>
      </c>
      <c r="O100" s="2484"/>
      <c r="P100" s="859"/>
      <c r="Q100" s="1020" t="str">
        <f>IF(OR($O100=$M100,$O100=0,$O100=""),"","*CHECK!*")</f>
        <v/>
      </c>
      <c r="R100" s="1133" t="s">
        <v>2667</v>
      </c>
    </row>
    <row r="101" spans="1:18" s="102" customFormat="1" ht="12" customHeight="1">
      <c r="A101" s="138"/>
      <c r="B101" s="440"/>
      <c r="C101" s="3515"/>
      <c r="D101" s="3515"/>
      <c r="E101" s="3515"/>
      <c r="F101" s="3515"/>
      <c r="G101" s="3515"/>
      <c r="H101" s="3515"/>
      <c r="I101" s="165"/>
      <c r="J101" s="165"/>
      <c r="K101" s="165"/>
      <c r="L101" s="165"/>
      <c r="M101" s="165"/>
      <c r="N101" s="165"/>
      <c r="O101" s="165"/>
      <c r="P101" s="165"/>
      <c r="Q101" s="1020"/>
      <c r="R101" s="1133"/>
    </row>
    <row r="102" spans="1:18" s="42" customFormat="1" ht="12.6" customHeight="1">
      <c r="A102" s="35" t="s">
        <v>3912</v>
      </c>
      <c r="B102" s="165"/>
      <c r="E102" s="40"/>
      <c r="K102" s="47"/>
      <c r="M102" s="72"/>
      <c r="N102" s="72"/>
      <c r="O102" s="72"/>
      <c r="P102" s="72"/>
      <c r="Q102" s="376"/>
      <c r="R102" s="376"/>
    </row>
    <row r="103" spans="1:18" s="102" customFormat="1" ht="11.4" customHeight="1">
      <c r="A103" s="41"/>
      <c r="B103" s="97" t="s">
        <v>1841</v>
      </c>
      <c r="C103" s="41"/>
      <c r="D103" s="97"/>
      <c r="E103" s="1756"/>
      <c r="F103" s="1756"/>
      <c r="G103" s="1756"/>
      <c r="H103" s="1756"/>
      <c r="I103" s="1756"/>
      <c r="J103" s="1756"/>
      <c r="K103" s="1756"/>
      <c r="L103" s="1756"/>
      <c r="M103" s="1756"/>
      <c r="N103" s="93"/>
      <c r="O103" s="872"/>
      <c r="P103" s="1747"/>
      <c r="Q103" s="426"/>
    </row>
    <row r="104" spans="1:18" s="42" customFormat="1" ht="11.25" customHeight="1">
      <c r="A104" s="3258"/>
      <c r="B104" s="3259"/>
      <c r="C104" s="3259"/>
      <c r="D104" s="3259"/>
      <c r="E104" s="3259"/>
      <c r="F104" s="3259"/>
      <c r="G104" s="3259"/>
      <c r="H104" s="3259"/>
      <c r="I104" s="3259"/>
      <c r="J104" s="3259"/>
      <c r="K104" s="3259"/>
      <c r="L104" s="3259"/>
      <c r="M104" s="3259"/>
      <c r="N104" s="3259"/>
      <c r="O104" s="3259"/>
      <c r="P104" s="3260"/>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1750"/>
      <c r="P106" s="2"/>
    </row>
    <row r="107" spans="1:18" s="42" customFormat="1" ht="12.75" customHeight="1" thickBot="1">
      <c r="A107" s="152" t="s">
        <v>1772</v>
      </c>
      <c r="B107" s="106" t="s">
        <v>3827</v>
      </c>
      <c r="D107" s="38"/>
      <c r="E107" s="35"/>
      <c r="F107" s="887"/>
      <c r="G107" s="887"/>
      <c r="H107" s="887"/>
      <c r="I107" s="60" t="s">
        <v>3646</v>
      </c>
      <c r="J107" s="897"/>
      <c r="K107" s="897"/>
      <c r="L107" s="897"/>
      <c r="M107" s="1747">
        <v>4</v>
      </c>
      <c r="N107" s="887"/>
      <c r="O107" s="1089">
        <f>IF(AND(O109&gt;0,O115&gt;0),"AorB?",MIN($M$107,O109+O115+O137))</f>
        <v>4</v>
      </c>
      <c r="P107" s="1089">
        <f>IF(AND(P109&gt;0,P115&gt;0),"AorB?",MIN($M$107,P109+P115+P137))</f>
        <v>0</v>
      </c>
      <c r="Q107" s="109" t="s">
        <v>437</v>
      </c>
    </row>
    <row r="108" spans="1:18" s="42" customFormat="1" ht="1.5" customHeight="1" thickBot="1">
      <c r="A108" s="41"/>
      <c r="D108" s="38"/>
      <c r="E108" s="35"/>
      <c r="F108" s="887"/>
      <c r="G108" s="887"/>
      <c r="H108" s="887"/>
      <c r="I108" s="887"/>
      <c r="J108" s="897"/>
      <c r="K108" s="897"/>
      <c r="L108" s="897"/>
      <c r="M108" s="59"/>
      <c r="N108" s="887"/>
      <c r="O108" s="1750"/>
      <c r="P108" s="2"/>
    </row>
    <row r="109" spans="1:18" s="102" customFormat="1" ht="12.75" customHeight="1" thickBot="1">
      <c r="A109" s="178" t="s">
        <v>1957</v>
      </c>
      <c r="B109" s="869" t="s">
        <v>3828</v>
      </c>
      <c r="C109" s="92"/>
      <c r="D109" s="1086"/>
      <c r="E109" s="51" t="s">
        <v>3915</v>
      </c>
      <c r="G109" s="113"/>
      <c r="I109" s="463" t="s">
        <v>3909</v>
      </c>
      <c r="J109" s="1165" t="str">
        <f>'Part I-Project Information'!$H$82</f>
        <v>Family</v>
      </c>
      <c r="K109" s="1112"/>
      <c r="L109" s="376" t="str">
        <f>IF(OR($O109=$M109,$O109=0,$O109=""),"","* * Check Score! * *")</f>
        <v/>
      </c>
      <c r="M109" s="72">
        <v>3</v>
      </c>
      <c r="N109" s="463" t="s">
        <v>1957</v>
      </c>
      <c r="O109" s="2485">
        <v>3</v>
      </c>
      <c r="P109" s="1122"/>
      <c r="Q109" s="1603" t="str">
        <f>IF(OR($O109=$M109,$O109=0,$O109=""),"","*CHECK!*")</f>
        <v/>
      </c>
      <c r="R109" s="984" t="s">
        <v>2667</v>
      </c>
    </row>
    <row r="110" spans="1:18" s="42" customFormat="1" ht="11.25" customHeight="1">
      <c r="A110" s="41"/>
      <c r="B110" s="54" t="s">
        <v>4284</v>
      </c>
      <c r="D110" s="38"/>
      <c r="E110" s="35"/>
      <c r="F110" s="887"/>
      <c r="G110" s="887"/>
      <c r="H110" s="887"/>
      <c r="I110" s="887"/>
      <c r="J110" s="897"/>
      <c r="K110" s="897"/>
      <c r="L110" s="897"/>
      <c r="M110" s="59"/>
      <c r="N110" s="887"/>
      <c r="O110" s="1750"/>
      <c r="P110" s="2"/>
    </row>
    <row r="111" spans="1:18" s="42" customFormat="1" ht="11.25" customHeight="1">
      <c r="A111" s="41"/>
      <c r="B111" s="1531" t="s">
        <v>1960</v>
      </c>
      <c r="C111" s="86" t="s">
        <v>4687</v>
      </c>
      <c r="D111" s="38"/>
      <c r="E111" s="35"/>
      <c r="F111" s="887"/>
      <c r="G111" s="887"/>
      <c r="H111" s="887"/>
      <c r="I111" s="887"/>
      <c r="J111" s="897"/>
      <c r="K111" s="897"/>
      <c r="L111" s="897"/>
      <c r="M111" s="59"/>
      <c r="N111" s="1085" t="s">
        <v>1960</v>
      </c>
      <c r="O111" s="2444" t="s">
        <v>2933</v>
      </c>
      <c r="P111" s="534"/>
    </row>
    <row r="112" spans="1:18" s="42" customFormat="1" ht="11.25" customHeight="1">
      <c r="A112" s="41"/>
      <c r="B112" s="1531" t="s">
        <v>1962</v>
      </c>
      <c r="C112" s="86" t="s">
        <v>4688</v>
      </c>
      <c r="D112" s="38"/>
      <c r="E112" s="35"/>
      <c r="F112" s="887"/>
      <c r="G112" s="887"/>
      <c r="H112" s="887"/>
      <c r="I112" s="887"/>
      <c r="J112" s="897"/>
      <c r="K112" s="897"/>
      <c r="L112" s="897"/>
      <c r="M112" s="59"/>
      <c r="N112" s="1085" t="s">
        <v>1962</v>
      </c>
      <c r="O112" s="2446" t="s">
        <v>2933</v>
      </c>
      <c r="P112" s="536"/>
    </row>
    <row r="113" spans="1:21" s="35" customFormat="1" ht="47.1" customHeight="1">
      <c r="A113" s="63"/>
      <c r="B113" s="1531" t="s">
        <v>2501</v>
      </c>
      <c r="C113" s="35" t="s">
        <v>4491</v>
      </c>
      <c r="E113" s="3755" t="s">
        <v>5011</v>
      </c>
      <c r="F113" s="3756"/>
      <c r="G113" s="3756"/>
      <c r="H113" s="3756"/>
      <c r="I113" s="3756"/>
      <c r="J113" s="3756"/>
      <c r="K113" s="3756"/>
      <c r="L113" s="3756"/>
      <c r="M113" s="3756"/>
      <c r="N113" s="3756"/>
      <c r="O113" s="3756"/>
      <c r="P113" s="3757"/>
      <c r="Q113" s="1069"/>
      <c r="R113" s="1069"/>
      <c r="S113" s="1069"/>
      <c r="T113" s="1069"/>
    </row>
    <row r="114" spans="1:21" s="42" customFormat="1" ht="2.25" customHeight="1" thickBot="1">
      <c r="A114" s="41"/>
      <c r="D114" s="38"/>
      <c r="E114" s="35"/>
      <c r="F114" s="887"/>
      <c r="G114" s="887"/>
      <c r="H114" s="887"/>
      <c r="I114" s="887"/>
      <c r="J114" s="897"/>
      <c r="K114" s="897"/>
      <c r="L114" s="897"/>
      <c r="M114" s="59"/>
      <c r="N114" s="887"/>
      <c r="O114" s="1750"/>
      <c r="P114" s="2"/>
    </row>
    <row r="115" spans="1:21" s="102" customFormat="1" ht="12.75" customHeight="1" thickBot="1">
      <c r="A115" s="178" t="s">
        <v>1959</v>
      </c>
      <c r="B115" s="165" t="s">
        <v>3830</v>
      </c>
      <c r="D115" s="92"/>
      <c r="F115" s="51"/>
      <c r="G115" s="51"/>
      <c r="H115" s="92"/>
      <c r="I115" s="92"/>
      <c r="J115" s="92"/>
      <c r="K115" s="92"/>
      <c r="L115" s="376" t="str">
        <f>IF(OR($O115=$M115,$O115=0,$O115=""),"","* * Check Score! * *")</f>
        <v/>
      </c>
      <c r="M115" s="1038">
        <v>3</v>
      </c>
      <c r="N115" s="463" t="s">
        <v>1959</v>
      </c>
      <c r="O115" s="2485"/>
      <c r="P115" s="1122"/>
      <c r="Q115" s="1603" t="str">
        <f>IF(OR($O115=$M115,$O115=0,$O115=""),"","*CHECK!*")</f>
        <v/>
      </c>
      <c r="R115" s="984" t="s">
        <v>2667</v>
      </c>
      <c r="S115" s="1069"/>
      <c r="T115" s="1069"/>
    </row>
    <row r="116" spans="1:21" s="102" customFormat="1" ht="10.5" customHeight="1">
      <c r="A116" s="178"/>
      <c r="B116" s="888"/>
      <c r="C116" s="51" t="s">
        <v>3831</v>
      </c>
      <c r="D116" s="92"/>
      <c r="E116" s="51"/>
      <c r="F116" s="51"/>
      <c r="G116" s="51"/>
      <c r="H116" s="92"/>
      <c r="I116" s="92"/>
      <c r="J116" s="92"/>
      <c r="K116" s="92"/>
      <c r="L116" s="92"/>
      <c r="M116" s="1038"/>
      <c r="N116" s="1038"/>
      <c r="O116" s="2452"/>
      <c r="P116" s="1759"/>
      <c r="Q116" s="1069"/>
      <c r="R116" s="1069"/>
      <c r="S116" s="1069"/>
      <c r="T116" s="1069"/>
    </row>
    <row r="117" spans="1:21" s="102" customFormat="1" ht="10.5" customHeight="1">
      <c r="A117" s="178"/>
      <c r="B117" s="888"/>
      <c r="C117" s="51" t="s">
        <v>3832</v>
      </c>
      <c r="D117" s="172" t="s">
        <v>4493</v>
      </c>
      <c r="F117" s="51"/>
      <c r="G117" s="51"/>
      <c r="H117" s="3729"/>
      <c r="I117" s="3729"/>
      <c r="J117" s="3729"/>
      <c r="K117" s="3729"/>
      <c r="L117" s="3729"/>
      <c r="M117" s="3729"/>
      <c r="N117" s="3729"/>
      <c r="O117" s="3729"/>
      <c r="P117" s="3729"/>
      <c r="Q117" s="1069"/>
      <c r="R117" s="1069"/>
      <c r="S117" s="1069"/>
      <c r="T117" s="1069"/>
    </row>
    <row r="118" spans="1:21" s="102" customFormat="1" ht="10.5" customHeight="1">
      <c r="A118" s="178"/>
      <c r="B118" s="51"/>
      <c r="C118" s="35" t="s">
        <v>3834</v>
      </c>
      <c r="D118" s="92"/>
      <c r="E118" s="51"/>
      <c r="F118" s="51"/>
      <c r="G118" s="51"/>
      <c r="H118" s="92"/>
      <c r="I118" s="92"/>
      <c r="J118" s="92"/>
      <c r="K118" s="92"/>
      <c r="L118" s="92"/>
      <c r="M118" s="430"/>
      <c r="N118" s="1029" t="s">
        <v>3668</v>
      </c>
      <c r="O118" s="2453"/>
      <c r="P118" s="940"/>
      <c r="Q118" s="1069"/>
      <c r="R118" s="1069"/>
      <c r="S118" s="1069"/>
      <c r="T118" s="1069"/>
    </row>
    <row r="119" spans="1:21" s="35" customFormat="1" ht="10.5" customHeight="1">
      <c r="A119" s="63"/>
      <c r="B119" s="374"/>
      <c r="C119" s="35" t="s">
        <v>3835</v>
      </c>
      <c r="D119" s="51"/>
      <c r="E119" s="51"/>
      <c r="F119" s="51"/>
      <c r="G119" s="51"/>
      <c r="H119" s="51"/>
      <c r="I119" s="51"/>
      <c r="J119" s="51"/>
      <c r="K119" s="51"/>
      <c r="L119" s="51"/>
      <c r="M119" s="1765"/>
      <c r="N119" s="387" t="s">
        <v>3669</v>
      </c>
      <c r="O119" s="2445"/>
      <c r="P119" s="535"/>
      <c r="Q119" s="1069"/>
      <c r="R119" s="1069"/>
      <c r="S119" s="1069"/>
      <c r="T119" s="1069"/>
    </row>
    <row r="120" spans="1:21" s="54" customFormat="1" ht="10.5" customHeight="1">
      <c r="A120" s="63"/>
      <c r="C120" s="54" t="s">
        <v>3938</v>
      </c>
      <c r="D120" s="415"/>
      <c r="E120" s="51"/>
      <c r="F120" s="51"/>
      <c r="G120" s="51"/>
      <c r="H120" s="415"/>
      <c r="J120" s="415"/>
      <c r="L120" s="3327" t="s">
        <v>3695</v>
      </c>
      <c r="M120" s="3327"/>
      <c r="N120" s="3327"/>
      <c r="O120" s="3740" t="s">
        <v>3694</v>
      </c>
      <c r="P120" s="3740"/>
      <c r="Q120" s="51"/>
    </row>
    <row r="121" spans="1:21" s="54" customFormat="1" ht="10.5" customHeight="1">
      <c r="A121" s="63"/>
      <c r="B121" s="375"/>
      <c r="C121" s="3622"/>
      <c r="D121" s="3623"/>
      <c r="E121" s="3623"/>
      <c r="F121" s="3623"/>
      <c r="G121" s="3623"/>
      <c r="H121" s="3623"/>
      <c r="I121" s="3623"/>
      <c r="J121" s="3623"/>
      <c r="K121" s="3624"/>
      <c r="L121" s="3753" t="s">
        <v>3599</v>
      </c>
      <c r="M121" s="3753"/>
      <c r="N121" s="3753"/>
      <c r="O121" s="3754"/>
      <c r="P121" s="3754"/>
      <c r="Q121" s="1103" t="str">
        <f>IF(O121&gt;15, "Too much!","")</f>
        <v/>
      </c>
    </row>
    <row r="122" spans="1:21" s="54" customFormat="1" ht="10.5" customHeight="1">
      <c r="A122" s="63"/>
      <c r="B122" s="388"/>
      <c r="C122" s="3625"/>
      <c r="D122" s="3626"/>
      <c r="E122" s="3626"/>
      <c r="F122" s="3626"/>
      <c r="G122" s="3626"/>
      <c r="H122" s="3626"/>
      <c r="I122" s="3626"/>
      <c r="J122" s="3626"/>
      <c r="K122" s="3627"/>
      <c r="L122" s="3751" t="s">
        <v>3599</v>
      </c>
      <c r="M122" s="3751"/>
      <c r="N122" s="3751"/>
      <c r="O122" s="3728"/>
      <c r="P122" s="3728"/>
      <c r="Q122" s="1103" t="str">
        <f>IF(O122&gt;15, "Too much!","")</f>
        <v/>
      </c>
    </row>
    <row r="123" spans="1:21" s="54" customFormat="1" ht="10.5" customHeight="1">
      <c r="A123" s="63"/>
      <c r="B123" s="375"/>
      <c r="C123" s="3625"/>
      <c r="D123" s="3626"/>
      <c r="E123" s="3626"/>
      <c r="F123" s="3626"/>
      <c r="G123" s="3626"/>
      <c r="H123" s="3626"/>
      <c r="I123" s="3626"/>
      <c r="J123" s="3626"/>
      <c r="K123" s="3627"/>
      <c r="L123" s="3751" t="s">
        <v>3599</v>
      </c>
      <c r="M123" s="3751"/>
      <c r="N123" s="3751"/>
      <c r="O123" s="3728"/>
      <c r="P123" s="3728"/>
      <c r="Q123" s="1103" t="str">
        <f>IF(O123&gt;15, "Too much!","")</f>
        <v/>
      </c>
    </row>
    <row r="124" spans="1:21" s="54" customFormat="1" ht="10.5" customHeight="1">
      <c r="A124" s="63"/>
      <c r="B124" s="387"/>
      <c r="C124" s="3628"/>
      <c r="D124" s="3629"/>
      <c r="E124" s="3629"/>
      <c r="F124" s="3629"/>
      <c r="G124" s="3629"/>
      <c r="H124" s="3629"/>
      <c r="I124" s="3629"/>
      <c r="J124" s="3629"/>
      <c r="K124" s="3630"/>
      <c r="L124" s="3732" t="s">
        <v>3599</v>
      </c>
      <c r="M124" s="3732"/>
      <c r="N124" s="3732"/>
      <c r="O124" s="3752"/>
      <c r="P124" s="3752"/>
      <c r="Q124" s="1103" t="str">
        <f>IF(O124&gt;15, "Too much!","")</f>
        <v/>
      </c>
    </row>
    <row r="125" spans="1:21" s="102" customFormat="1" ht="10.5" customHeight="1">
      <c r="B125" s="888"/>
      <c r="C125" s="51" t="s">
        <v>3833</v>
      </c>
      <c r="D125" s="35" t="s">
        <v>3836</v>
      </c>
      <c r="E125" s="51"/>
      <c r="F125" s="51"/>
      <c r="G125" s="51"/>
      <c r="H125" s="92"/>
      <c r="I125" s="92"/>
      <c r="J125" s="92"/>
      <c r="K125" s="92"/>
      <c r="L125" s="92"/>
      <c r="M125" s="92"/>
      <c r="N125" s="1029" t="s">
        <v>3668</v>
      </c>
      <c r="O125" s="2444"/>
      <c r="P125" s="534"/>
      <c r="Q125" s="493"/>
      <c r="R125" s="54"/>
      <c r="S125" s="54"/>
      <c r="T125" s="54"/>
      <c r="U125" s="54"/>
    </row>
    <row r="126" spans="1:21" s="102" customFormat="1" ht="10.5" customHeight="1">
      <c r="A126" s="178"/>
      <c r="B126" s="51"/>
      <c r="D126" s="35" t="s">
        <v>3837</v>
      </c>
      <c r="E126" s="51"/>
      <c r="F126" s="51"/>
      <c r="G126" s="51"/>
      <c r="H126" s="92"/>
      <c r="I126" s="92"/>
      <c r="J126" s="92"/>
      <c r="K126" s="92"/>
      <c r="L126" s="92"/>
      <c r="M126" s="430"/>
      <c r="N126" s="387" t="s">
        <v>3669</v>
      </c>
      <c r="O126" s="2446"/>
      <c r="P126" s="536"/>
      <c r="Q126" s="493"/>
      <c r="R126" s="54"/>
      <c r="S126" s="54"/>
      <c r="T126" s="54"/>
      <c r="U126" s="54"/>
    </row>
    <row r="127" spans="1:21" s="35" customFormat="1" ht="10.5" customHeight="1">
      <c r="A127" s="63"/>
      <c r="B127" s="374"/>
      <c r="D127" s="54" t="s">
        <v>4492</v>
      </c>
      <c r="E127" s="51"/>
      <c r="F127" s="51"/>
      <c r="G127" s="51"/>
      <c r="H127" s="51"/>
      <c r="I127" s="51"/>
      <c r="J127" s="51"/>
      <c r="K127" s="51"/>
      <c r="L127" s="51"/>
      <c r="M127" s="1765"/>
      <c r="N127" s="387" t="s">
        <v>3670</v>
      </c>
      <c r="Q127" s="51"/>
      <c r="R127" s="54"/>
      <c r="S127" s="54"/>
      <c r="T127" s="54"/>
      <c r="U127" s="54"/>
    </row>
    <row r="128" spans="1:21" s="54" customFormat="1" ht="10.5" customHeight="1">
      <c r="A128" s="63"/>
      <c r="B128" s="63"/>
      <c r="D128" s="63"/>
      <c r="E128" s="897" t="s">
        <v>3960</v>
      </c>
      <c r="F128" s="63"/>
      <c r="L128" s="63"/>
      <c r="M128" s="63"/>
      <c r="N128" s="63"/>
      <c r="O128" s="2444"/>
      <c r="P128" s="534"/>
      <c r="Q128" s="51"/>
    </row>
    <row r="129" spans="1:21" s="54" customFormat="1" ht="10.5" customHeight="1">
      <c r="A129" s="63"/>
      <c r="B129" s="63"/>
      <c r="D129" s="63"/>
      <c r="E129" s="897" t="s">
        <v>4269</v>
      </c>
      <c r="F129" s="63"/>
      <c r="L129" s="63"/>
      <c r="M129" s="63"/>
      <c r="N129" s="63"/>
      <c r="O129" s="2445"/>
      <c r="P129" s="535"/>
      <c r="Q129" s="51"/>
    </row>
    <row r="130" spans="1:21" s="54" customFormat="1" ht="10.5" customHeight="1">
      <c r="A130" s="63"/>
      <c r="B130" s="63"/>
      <c r="D130" s="63"/>
      <c r="E130" s="897" t="s">
        <v>3961</v>
      </c>
      <c r="F130" s="63"/>
      <c r="L130" s="63"/>
      <c r="M130" s="63"/>
      <c r="N130" s="63"/>
      <c r="O130" s="2445"/>
      <c r="P130" s="535"/>
      <c r="Q130" s="51"/>
    </row>
    <row r="131" spans="1:21" s="54" customFormat="1" ht="10.5" customHeight="1">
      <c r="A131" s="63"/>
      <c r="B131" s="63"/>
      <c r="D131" s="63"/>
      <c r="E131" s="897" t="s">
        <v>4281</v>
      </c>
      <c r="F131" s="63"/>
      <c r="I131" s="897"/>
      <c r="L131" s="63"/>
      <c r="M131" s="63"/>
      <c r="N131" s="63"/>
      <c r="O131" s="2486"/>
      <c r="P131" s="903"/>
      <c r="Q131" s="51"/>
    </row>
    <row r="132" spans="1:21" s="54" customFormat="1" ht="10.5" customHeight="1">
      <c r="A132" s="63"/>
      <c r="B132" s="63"/>
      <c r="D132" s="63"/>
      <c r="E132" s="51" t="s">
        <v>4282</v>
      </c>
      <c r="F132" s="63"/>
      <c r="I132" s="897"/>
      <c r="L132" s="63"/>
      <c r="M132" s="63"/>
      <c r="N132" s="63"/>
      <c r="O132" s="2486"/>
      <c r="P132" s="903"/>
      <c r="Q132" s="51"/>
    </row>
    <row r="133" spans="1:21" s="54" customFormat="1" ht="10.5" customHeight="1">
      <c r="A133" s="63"/>
      <c r="B133" s="63"/>
      <c r="D133" s="63"/>
      <c r="E133" s="897" t="s">
        <v>4283</v>
      </c>
      <c r="F133" s="63"/>
      <c r="I133" s="897"/>
      <c r="L133" s="63"/>
      <c r="M133" s="63"/>
      <c r="N133" s="63"/>
      <c r="O133" s="2486"/>
      <c r="P133" s="903"/>
      <c r="Q133" s="51"/>
    </row>
    <row r="134" spans="1:21" s="54" customFormat="1" ht="10.5" customHeight="1">
      <c r="A134" s="63"/>
      <c r="B134" s="63"/>
      <c r="D134" s="63"/>
      <c r="E134" s="3733" t="s">
        <v>3962</v>
      </c>
      <c r="F134" s="3734"/>
      <c r="G134" s="3734"/>
      <c r="H134" s="3734"/>
      <c r="I134" s="3734"/>
      <c r="J134" s="3734"/>
      <c r="K134" s="3734"/>
      <c r="L134" s="3735"/>
      <c r="M134" s="63"/>
      <c r="N134" s="63"/>
      <c r="O134" s="2446"/>
      <c r="P134" s="536"/>
      <c r="Q134" s="51"/>
    </row>
    <row r="135" spans="1:21" s="102" customFormat="1" ht="10.5" customHeight="1">
      <c r="A135" s="178"/>
      <c r="B135" s="51"/>
      <c r="D135" s="35" t="s">
        <v>4494</v>
      </c>
      <c r="E135" s="51"/>
      <c r="F135" s="51"/>
      <c r="G135" s="51"/>
      <c r="H135" s="92"/>
      <c r="I135" s="92"/>
      <c r="J135" s="92"/>
      <c r="K135" s="92"/>
      <c r="L135" s="92"/>
      <c r="M135" s="430"/>
      <c r="N135" s="387" t="s">
        <v>3672</v>
      </c>
      <c r="O135" s="2446"/>
      <c r="P135" s="536"/>
      <c r="Q135" s="493"/>
      <c r="R135" s="54"/>
      <c r="S135" s="54"/>
      <c r="T135" s="54"/>
      <c r="U135" s="54"/>
    </row>
    <row r="136" spans="1:21" s="412" customFormat="1" ht="3" customHeight="1" thickBot="1">
      <c r="A136" s="588"/>
      <c r="B136" s="871"/>
      <c r="C136" s="1213"/>
      <c r="D136" s="1213"/>
      <c r="E136" s="1213"/>
      <c r="F136" s="1213"/>
      <c r="G136" s="1213"/>
      <c r="H136" s="1213"/>
      <c r="I136" s="1213"/>
      <c r="J136" s="1213"/>
      <c r="K136" s="1213"/>
      <c r="L136" s="1213"/>
      <c r="M136" s="522"/>
      <c r="N136" s="523"/>
      <c r="O136" s="523"/>
      <c r="P136" s="523"/>
      <c r="Q136" s="965"/>
    </row>
    <row r="137" spans="1:21" s="102" customFormat="1" ht="12.75" customHeight="1" thickBot="1">
      <c r="A137" s="178" t="s">
        <v>738</v>
      </c>
      <c r="B137" s="869" t="s">
        <v>3696</v>
      </c>
      <c r="D137" s="51"/>
      <c r="F137" s="51"/>
      <c r="G137" s="51"/>
      <c r="H137" s="51"/>
      <c r="I137" s="51"/>
      <c r="J137" s="51"/>
      <c r="K137" s="51"/>
      <c r="L137" s="376" t="str">
        <f>IF(OR($O137=$M137,$O137=0,$O137=""),"","* * Check Score! * *")</f>
        <v/>
      </c>
      <c r="M137" s="1038">
        <v>1</v>
      </c>
      <c r="N137" s="1085" t="s">
        <v>1962</v>
      </c>
      <c r="O137" s="2485">
        <v>1</v>
      </c>
      <c r="P137" s="1122"/>
      <c r="Q137" s="1603" t="str">
        <f>IF(OR($O137=$M137,$O137=0,$O137=""),"","*CHECK!*")</f>
        <v/>
      </c>
      <c r="R137" s="984" t="s">
        <v>2667</v>
      </c>
      <c r="S137" s="1069"/>
      <c r="T137" s="1069"/>
      <c r="U137" s="1069"/>
    </row>
    <row r="138" spans="1:21" s="35" customFormat="1" ht="10.5" customHeight="1">
      <c r="A138" s="63"/>
      <c r="C138" s="51" t="s">
        <v>3838</v>
      </c>
      <c r="D138" s="1214"/>
      <c r="E138" s="1214"/>
      <c r="F138" s="1214"/>
      <c r="G138" s="1214"/>
      <c r="H138" s="1214"/>
      <c r="I138" s="1214"/>
      <c r="J138" s="1214"/>
      <c r="K138" s="1214"/>
      <c r="L138" s="1214"/>
      <c r="M138" s="1765"/>
      <c r="N138" s="51"/>
      <c r="O138" s="2452" t="s">
        <v>4920</v>
      </c>
      <c r="P138" s="1759"/>
      <c r="Q138" s="51"/>
      <c r="R138" s="1069"/>
      <c r="S138" s="1069"/>
      <c r="T138" s="1069"/>
      <c r="U138" s="1069"/>
    </row>
    <row r="139" spans="1:21" s="35" customFormat="1" ht="10.5" customHeight="1">
      <c r="A139" s="63"/>
      <c r="B139" s="888"/>
      <c r="C139" s="3257" t="s">
        <v>4495</v>
      </c>
      <c r="D139" s="3257"/>
      <c r="E139" s="3257"/>
      <c r="F139" s="1214"/>
      <c r="G139" s="897" t="s">
        <v>3839</v>
      </c>
      <c r="I139" s="1214"/>
      <c r="J139" s="1214"/>
      <c r="K139" s="1214"/>
      <c r="L139" s="1214"/>
      <c r="M139" s="64" t="s">
        <v>2403</v>
      </c>
      <c r="N139" s="387" t="s">
        <v>3668</v>
      </c>
      <c r="O139" s="2453" t="s">
        <v>2933</v>
      </c>
      <c r="P139" s="940"/>
      <c r="Q139" s="51"/>
      <c r="R139" s="1069"/>
      <c r="S139" s="1069"/>
      <c r="T139" s="1069"/>
      <c r="U139" s="1069"/>
    </row>
    <row r="140" spans="1:21" s="35" customFormat="1" ht="10.5" customHeight="1">
      <c r="A140" s="63"/>
      <c r="B140" s="374"/>
      <c r="C140" s="3257"/>
      <c r="D140" s="3257"/>
      <c r="E140" s="3257"/>
      <c r="F140" s="1214"/>
      <c r="G140" s="897" t="s">
        <v>3840</v>
      </c>
      <c r="I140" s="1214"/>
      <c r="J140" s="1214"/>
      <c r="K140" s="1214"/>
      <c r="L140" s="1214"/>
      <c r="M140" s="1765"/>
      <c r="N140" s="1029" t="s">
        <v>3669</v>
      </c>
      <c r="O140" s="2445" t="s">
        <v>2933</v>
      </c>
      <c r="P140" s="535"/>
      <c r="Q140" s="51"/>
      <c r="R140" s="1069"/>
      <c r="S140" s="1069"/>
      <c r="T140" s="1069"/>
      <c r="U140" s="1069"/>
    </row>
    <row r="141" spans="1:21" s="35" customFormat="1" ht="10.5" customHeight="1">
      <c r="A141" s="64"/>
      <c r="B141" s="374"/>
      <c r="C141" s="3257"/>
      <c r="D141" s="3257"/>
      <c r="E141" s="3257"/>
      <c r="F141" s="1214"/>
      <c r="G141" s="897" t="s">
        <v>3841</v>
      </c>
      <c r="I141" s="1214"/>
      <c r="J141" s="1214"/>
      <c r="K141" s="1214"/>
      <c r="L141" s="1214"/>
      <c r="M141" s="1765"/>
      <c r="N141" s="387" t="s">
        <v>3670</v>
      </c>
      <c r="O141" s="2445" t="s">
        <v>2933</v>
      </c>
      <c r="P141" s="535"/>
      <c r="Q141" s="51"/>
      <c r="R141" s="1069"/>
      <c r="S141" s="1069"/>
      <c r="T141" s="1069"/>
      <c r="U141" s="1069"/>
    </row>
    <row r="142" spans="1:21" s="35" customFormat="1" ht="10.5" customHeight="1">
      <c r="A142" s="63"/>
      <c r="B142" s="374"/>
      <c r="D142" s="1214"/>
      <c r="E142" s="1214"/>
      <c r="F142" s="1214"/>
      <c r="G142" s="897" t="s">
        <v>3842</v>
      </c>
      <c r="I142" s="1214"/>
      <c r="J142" s="1214"/>
      <c r="K142" s="1214"/>
      <c r="L142" s="1214"/>
      <c r="M142" s="1765"/>
      <c r="N142" s="387" t="s">
        <v>3672</v>
      </c>
      <c r="O142" s="2445" t="s">
        <v>2933</v>
      </c>
      <c r="P142" s="535"/>
      <c r="Q142" s="51"/>
      <c r="R142" s="1069"/>
      <c r="S142" s="1069"/>
      <c r="T142" s="1069"/>
      <c r="U142" s="1069"/>
    </row>
    <row r="143" spans="1:21" s="35" customFormat="1" ht="10.5" customHeight="1">
      <c r="A143" s="63"/>
      <c r="B143" s="374"/>
      <c r="D143" s="1214"/>
      <c r="E143" s="1214"/>
      <c r="F143" s="1214"/>
      <c r="G143" s="897" t="s">
        <v>3843</v>
      </c>
      <c r="I143" s="1214"/>
      <c r="J143" s="1214"/>
      <c r="K143" s="1214"/>
      <c r="L143" s="1214"/>
      <c r="M143" s="1765"/>
      <c r="N143" s="1029" t="s">
        <v>3673</v>
      </c>
      <c r="O143" s="2446" t="s">
        <v>2933</v>
      </c>
      <c r="P143" s="536"/>
      <c r="Q143" s="51"/>
    </row>
    <row r="144" spans="1:21" s="35" customFormat="1" ht="10.5" customHeight="1">
      <c r="A144" s="63"/>
      <c r="B144" s="888"/>
      <c r="C144" s="897" t="s">
        <v>4496</v>
      </c>
      <c r="D144" s="1214"/>
      <c r="E144" s="1214"/>
      <c r="F144" s="1214"/>
      <c r="G144" s="1214"/>
      <c r="H144" s="1214"/>
      <c r="I144" s="1214"/>
      <c r="J144" s="1214"/>
      <c r="K144" s="1214"/>
      <c r="L144" s="1214"/>
      <c r="M144" s="64"/>
      <c r="N144" s="64" t="s">
        <v>2404</v>
      </c>
      <c r="O144" s="2447" t="s">
        <v>2933</v>
      </c>
      <c r="P144" s="533"/>
      <c r="Q144" s="51"/>
    </row>
    <row r="145" spans="1:18" s="54" customFormat="1" ht="10.5" customHeight="1">
      <c r="A145" s="63"/>
      <c r="B145" s="440"/>
      <c r="C145" s="54" t="s">
        <v>3706</v>
      </c>
      <c r="D145" s="415"/>
      <c r="E145" s="51"/>
      <c r="F145" s="51"/>
      <c r="G145" s="54" t="s">
        <v>3940</v>
      </c>
      <c r="H145" s="415"/>
      <c r="M145" s="57"/>
      <c r="N145" s="57"/>
      <c r="O145" s="57"/>
      <c r="P145" s="57"/>
      <c r="Q145" s="51"/>
    </row>
    <row r="146" spans="1:18" s="54" customFormat="1" ht="10.5" customHeight="1">
      <c r="B146" s="375"/>
      <c r="C146" s="3622" t="s">
        <v>4971</v>
      </c>
      <c r="D146" s="3623"/>
      <c r="E146" s="3623"/>
      <c r="F146" s="3624"/>
      <c r="G146" s="3622" t="s">
        <v>4972</v>
      </c>
      <c r="H146" s="3623"/>
      <c r="I146" s="3623"/>
      <c r="J146" s="3623"/>
      <c r="K146" s="3623"/>
      <c r="L146" s="3623"/>
      <c r="M146" s="3623"/>
      <c r="N146" s="3623"/>
      <c r="O146" s="3623"/>
      <c r="P146" s="3624"/>
      <c r="Q146" s="51"/>
    </row>
    <row r="147" spans="1:18" s="54" customFormat="1" ht="10.5" customHeight="1">
      <c r="A147" s="63"/>
      <c r="B147" s="388"/>
      <c r="C147" s="3625" t="s">
        <v>4973</v>
      </c>
      <c r="D147" s="3626"/>
      <c r="E147" s="3626"/>
      <c r="F147" s="3627"/>
      <c r="G147" s="3625" t="s">
        <v>4974</v>
      </c>
      <c r="H147" s="3626"/>
      <c r="I147" s="3626"/>
      <c r="J147" s="3626"/>
      <c r="K147" s="3626"/>
      <c r="L147" s="3626"/>
      <c r="M147" s="3626"/>
      <c r="N147" s="3626"/>
      <c r="O147" s="3626"/>
      <c r="P147" s="3627"/>
      <c r="Q147" s="51"/>
    </row>
    <row r="148" spans="1:18" s="54" customFormat="1" ht="10.5" customHeight="1">
      <c r="A148" s="3169" t="s">
        <v>3963</v>
      </c>
      <c r="B148" s="3169"/>
      <c r="C148" s="3625" t="s">
        <v>4975</v>
      </c>
      <c r="D148" s="3626"/>
      <c r="E148" s="3626"/>
      <c r="F148" s="3627"/>
      <c r="G148" s="3625" t="s">
        <v>4976</v>
      </c>
      <c r="H148" s="3626"/>
      <c r="I148" s="3626"/>
      <c r="J148" s="3626"/>
      <c r="K148" s="3626"/>
      <c r="L148" s="3626"/>
      <c r="M148" s="3626"/>
      <c r="N148" s="3626"/>
      <c r="O148" s="3626"/>
      <c r="P148" s="3627"/>
      <c r="Q148" s="51"/>
    </row>
    <row r="149" spans="1:18" s="54" customFormat="1" ht="10.5" customHeight="1">
      <c r="A149" s="3169"/>
      <c r="B149" s="3169"/>
      <c r="C149" s="3628"/>
      <c r="D149" s="3629"/>
      <c r="E149" s="3629"/>
      <c r="F149" s="3630"/>
      <c r="G149" s="3628"/>
      <c r="H149" s="3629"/>
      <c r="I149" s="3629"/>
      <c r="J149" s="3629"/>
      <c r="K149" s="3629"/>
      <c r="L149" s="3629"/>
      <c r="M149" s="3629"/>
      <c r="N149" s="3629"/>
      <c r="O149" s="3629"/>
      <c r="P149" s="3630"/>
      <c r="Q149" s="51"/>
    </row>
    <row r="150" spans="1:18" s="42" customFormat="1" ht="4.5" customHeight="1">
      <c r="A150" s="3730"/>
      <c r="B150" s="3730"/>
      <c r="C150" s="98"/>
      <c r="D150" s="85"/>
      <c r="E150" s="99"/>
      <c r="F150" s="1751"/>
      <c r="G150" s="1751"/>
      <c r="H150" s="1751"/>
      <c r="I150" s="1751"/>
      <c r="J150" s="1751"/>
      <c r="K150" s="1751"/>
      <c r="L150" s="1751"/>
      <c r="M150" s="1751"/>
      <c r="N150" s="74"/>
      <c r="O150" s="70"/>
      <c r="P150" s="1747"/>
      <c r="Q150" s="426"/>
    </row>
    <row r="151" spans="1:18" s="42" customFormat="1" ht="11.25" customHeight="1">
      <c r="A151" s="3258"/>
      <c r="B151" s="3259"/>
      <c r="C151" s="3259"/>
      <c r="D151" s="3259"/>
      <c r="E151" s="3259"/>
      <c r="F151" s="3259"/>
      <c r="G151" s="3259"/>
      <c r="H151" s="3259"/>
      <c r="I151" s="3259"/>
      <c r="J151" s="3259"/>
      <c r="K151" s="3259"/>
      <c r="L151" s="3259"/>
      <c r="M151" s="3259"/>
      <c r="N151" s="3259"/>
      <c r="O151" s="3259"/>
      <c r="P151" s="3260"/>
      <c r="Q151" s="445"/>
    </row>
    <row r="152" spans="1:18" s="42" customFormat="1" ht="3" customHeight="1" thickBot="1">
      <c r="A152" s="41"/>
      <c r="C152" s="1751"/>
      <c r="D152" s="1751"/>
      <c r="E152" s="1751"/>
      <c r="F152" s="1751"/>
      <c r="G152" s="1751"/>
      <c r="H152" s="1751"/>
      <c r="I152" s="1751"/>
      <c r="J152" s="1751"/>
      <c r="K152" s="1751"/>
      <c r="L152" s="1751"/>
      <c r="M152" s="1751"/>
      <c r="N152" s="74"/>
      <c r="O152" s="70"/>
      <c r="P152" s="887"/>
    </row>
    <row r="153" spans="1:18" s="42" customFormat="1" ht="13.5" customHeight="1" thickBot="1">
      <c r="A153" s="152" t="s">
        <v>522</v>
      </c>
      <c r="B153" s="106" t="s">
        <v>3816</v>
      </c>
      <c r="C153" s="1751"/>
      <c r="D153" s="1751"/>
      <c r="E153" s="1751"/>
      <c r="F153" s="1751"/>
      <c r="G153" s="1751"/>
      <c r="H153" s="1751"/>
      <c r="I153" s="1751"/>
      <c r="J153" s="1751"/>
      <c r="K153" s="1751"/>
      <c r="L153" s="1751"/>
      <c r="M153" s="887">
        <v>5</v>
      </c>
      <c r="N153" s="74"/>
      <c r="O153" s="1089">
        <f>O155+O171</f>
        <v>0</v>
      </c>
      <c r="P153" s="1089">
        <f>P155+P171</f>
        <v>0</v>
      </c>
      <c r="Q153" s="109" t="s">
        <v>437</v>
      </c>
    </row>
    <row r="154" spans="1:18" s="42" customFormat="1" ht="9" customHeight="1">
      <c r="A154" s="41"/>
      <c r="C154" s="1751"/>
      <c r="D154" s="1751"/>
      <c r="E154" s="1751"/>
      <c r="F154" s="1751"/>
      <c r="G154" s="1751"/>
      <c r="H154" s="1751"/>
      <c r="I154" s="1751"/>
      <c r="J154" s="1751"/>
      <c r="K154" s="1751"/>
      <c r="L154" s="1751"/>
      <c r="M154" s="1751"/>
      <c r="N154" s="74"/>
      <c r="O154" s="70"/>
      <c r="P154" s="887"/>
    </row>
    <row r="155" spans="1:18" s="102" customFormat="1" ht="13.5" customHeight="1">
      <c r="A155" s="178" t="s">
        <v>1957</v>
      </c>
      <c r="B155" s="9" t="s">
        <v>3846</v>
      </c>
      <c r="C155" s="92"/>
      <c r="D155" s="1086"/>
      <c r="E155" s="1086"/>
      <c r="G155" s="1112"/>
      <c r="H155" s="1112"/>
      <c r="I155" s="1112"/>
      <c r="J155" s="1112"/>
      <c r="K155" s="1112"/>
      <c r="L155" s="1112"/>
      <c r="M155" s="430">
        <v>3</v>
      </c>
      <c r="N155" s="174"/>
      <c r="O155" s="1115">
        <f>IF('Part VI-Revenues &amp; Expenses'!$O$67=0,0,IF(AND($F$160="Family",$U$166=3),3,IF($U$166=3,2,IF(OR($U$166=2,$U$166=1),1,0))))</f>
        <v>0</v>
      </c>
      <c r="P155" s="1604"/>
      <c r="R155" s="172"/>
    </row>
    <row r="156" spans="1:18" s="42" customFormat="1" ht="12" customHeight="1">
      <c r="B156" s="39" t="s">
        <v>3702</v>
      </c>
      <c r="C156" s="428"/>
      <c r="D156" s="428"/>
      <c r="E156" s="428"/>
      <c r="F156" s="428"/>
      <c r="G156" s="428"/>
      <c r="H156" s="428"/>
      <c r="I156" s="428"/>
      <c r="J156" s="428"/>
      <c r="K156" s="428"/>
      <c r="L156" s="428"/>
      <c r="M156" s="428"/>
      <c r="N156" s="428"/>
      <c r="O156" s="2443"/>
      <c r="P156" s="532"/>
      <c r="R156" s="376"/>
    </row>
    <row r="157" spans="1:18" s="42" customFormat="1" ht="6" customHeight="1">
      <c r="A157" s="138"/>
      <c r="B157" s="527"/>
      <c r="C157" s="527"/>
      <c r="D157" s="527"/>
      <c r="E157" s="527"/>
      <c r="F157" s="527"/>
      <c r="G157" s="527"/>
      <c r="H157" s="527"/>
      <c r="I157" s="527"/>
      <c r="J157" s="527"/>
      <c r="K157" s="527"/>
      <c r="L157" s="527"/>
      <c r="M157" s="527"/>
      <c r="O157" s="1190"/>
      <c r="P157" s="1190"/>
      <c r="R157" s="376"/>
    </row>
    <row r="158" spans="1:18" s="42" customFormat="1" ht="11.25" customHeight="1">
      <c r="A158" s="138"/>
      <c r="B158" s="3516" t="s">
        <v>4693</v>
      </c>
      <c r="C158" s="3516"/>
      <c r="D158" s="3516"/>
      <c r="E158" s="51" t="s">
        <v>3701</v>
      </c>
      <c r="F158" s="102"/>
      <c r="G158" s="51"/>
      <c r="H158" s="102"/>
      <c r="I158" s="3755"/>
      <c r="J158" s="3756"/>
      <c r="K158" s="3756"/>
      <c r="L158" s="3757"/>
    </row>
    <row r="159" spans="1:18" s="42" customFormat="1" ht="11.25" customHeight="1">
      <c r="A159" s="138"/>
      <c r="B159" s="3516"/>
      <c r="C159" s="3516"/>
      <c r="D159" s="3516"/>
      <c r="E159" s="39" t="s">
        <v>4499</v>
      </c>
      <c r="F159" s="376"/>
      <c r="G159" s="102"/>
      <c r="H159" s="102"/>
      <c r="I159" s="39"/>
      <c r="J159" s="1761"/>
      <c r="K159" s="1761"/>
      <c r="L159" s="1761"/>
      <c r="M159" s="102"/>
      <c r="N159" s="1114"/>
      <c r="O159" s="2443"/>
      <c r="P159" s="532"/>
      <c r="Q159" s="133"/>
    </row>
    <row r="160" spans="1:18" s="42" customFormat="1" ht="12" customHeight="1">
      <c r="A160" s="41"/>
      <c r="C160" s="1751"/>
      <c r="D160" s="1751"/>
      <c r="E160" s="51" t="s">
        <v>4500</v>
      </c>
      <c r="F160" s="1642" t="str">
        <f>'Part I-Project Information'!$H$82</f>
        <v>Family</v>
      </c>
      <c r="H160" s="1641"/>
      <c r="I160" s="1751"/>
      <c r="J160" s="1751"/>
      <c r="M160" s="1751"/>
      <c r="N160" s="74"/>
      <c r="O160" s="3770" t="s">
        <v>4689</v>
      </c>
      <c r="P160" s="3770"/>
    </row>
    <row r="161" spans="1:24" s="54" customFormat="1" ht="3" customHeight="1">
      <c r="A161" s="902"/>
      <c r="B161" s="428"/>
      <c r="O161" s="3771"/>
      <c r="P161" s="3771"/>
    </row>
    <row r="162" spans="1:24" s="42" customFormat="1" ht="12" customHeight="1">
      <c r="A162" s="375" t="s">
        <v>2403</v>
      </c>
      <c r="B162" s="110" t="s">
        <v>4498</v>
      </c>
      <c r="C162" s="1751"/>
      <c r="D162" s="1751"/>
      <c r="E162" s="51"/>
      <c r="F162" s="1524"/>
      <c r="G162" s="1524"/>
      <c r="I162" s="1751"/>
      <c r="J162" s="1751"/>
      <c r="K162" s="1751"/>
      <c r="L162" s="1751"/>
      <c r="M162" s="3777" t="s">
        <v>4497</v>
      </c>
      <c r="N162" s="74"/>
      <c r="O162" s="3771"/>
      <c r="P162" s="3771"/>
      <c r="T162" s="3326" t="s">
        <v>4728</v>
      </c>
    </row>
    <row r="163" spans="1:24" s="54" customFormat="1" ht="3" customHeight="1">
      <c r="A163" s="902"/>
      <c r="B163" s="428"/>
      <c r="M163" s="3777"/>
      <c r="O163" s="3771"/>
      <c r="P163" s="3771"/>
      <c r="T163" s="3326"/>
    </row>
    <row r="164" spans="1:24" s="42" customFormat="1" ht="13.5" customHeight="1">
      <c r="A164" s="138"/>
      <c r="B164" s="547"/>
      <c r="C164" s="546"/>
      <c r="D164" s="546"/>
      <c r="E164" s="1216"/>
      <c r="H164" s="3774" t="s">
        <v>3699</v>
      </c>
      <c r="I164" s="3778" t="s">
        <v>3737</v>
      </c>
      <c r="J164" s="3779"/>
      <c r="K164" s="3780"/>
      <c r="L164" s="3777" t="s">
        <v>3698</v>
      </c>
      <c r="M164" s="3777"/>
      <c r="N164" s="1547"/>
      <c r="O164" s="3771"/>
      <c r="P164" s="3771"/>
      <c r="R164" s="3809" t="s">
        <v>4694</v>
      </c>
      <c r="T164" s="3326"/>
      <c r="U164" s="3503" t="s">
        <v>4727</v>
      </c>
    </row>
    <row r="165" spans="1:24" s="42" customFormat="1" ht="13.5" customHeight="1">
      <c r="A165" s="138"/>
      <c r="B165" s="552" t="s">
        <v>3697</v>
      </c>
      <c r="C165" s="1761"/>
      <c r="D165" s="3798" t="s">
        <v>3700</v>
      </c>
      <c r="E165" s="3798"/>
      <c r="F165" s="3798"/>
      <c r="G165" s="1774" t="s">
        <v>3333</v>
      </c>
      <c r="H165" s="3503"/>
      <c r="I165" s="1758">
        <v>2015</v>
      </c>
      <c r="J165" s="1758">
        <v>2016</v>
      </c>
      <c r="K165" s="1758">
        <v>2017</v>
      </c>
      <c r="L165" s="2779"/>
      <c r="M165" s="2779"/>
      <c r="N165" s="1547"/>
      <c r="O165" s="3772"/>
      <c r="P165" s="3772"/>
      <c r="R165" s="3810"/>
      <c r="T165" s="3503"/>
      <c r="U165" s="3503"/>
    </row>
    <row r="166" spans="1:24" s="42" customFormat="1" ht="12" customHeight="1">
      <c r="B166" s="589" t="s">
        <v>3845</v>
      </c>
      <c r="D166" s="3784"/>
      <c r="E166" s="3785"/>
      <c r="F166" s="3786"/>
      <c r="G166" s="2487"/>
      <c r="H166" s="2488"/>
      <c r="I166" s="2489"/>
      <c r="J166" s="2490"/>
      <c r="K166" s="2490"/>
      <c r="L166" s="1528" t="str">
        <f>IF(I166+J166+K166=0,"",AVERAGE(I166,J166,K166))</f>
        <v/>
      </c>
      <c r="M166" s="621" t="str">
        <f>IF(L166="","",IF(L166&gt;R166,"Yes",IF(L166&lt;R166,"No","")))</f>
        <v/>
      </c>
      <c r="O166" s="2444"/>
      <c r="P166" s="534"/>
      <c r="R166" s="1525">
        <v>73.400000000000006</v>
      </c>
      <c r="S166" s="53"/>
      <c r="T166" s="590">
        <f>IF(OR(M166="Yes",O166="Yes"),1,0)</f>
        <v>0</v>
      </c>
      <c r="U166" s="3800">
        <f>SUM(T166:T170)</f>
        <v>0</v>
      </c>
    </row>
    <row r="167" spans="1:24" s="42" customFormat="1" ht="12" customHeight="1">
      <c r="B167" s="589" t="s">
        <v>3964</v>
      </c>
      <c r="D167" s="3787"/>
      <c r="E167" s="3788"/>
      <c r="F167" s="3789"/>
      <c r="G167" s="2491"/>
      <c r="H167" s="2492"/>
      <c r="I167" s="2493"/>
      <c r="J167" s="2494"/>
      <c r="K167" s="2494"/>
      <c r="L167" s="1527" t="str">
        <f>IF(I167+J167+K167=0,"",AVERAGE(I167,J167,K167))</f>
        <v/>
      </c>
      <c r="M167" s="622" t="str">
        <f>IF(L167="","",IF(L167&gt;R167,"Yes",IF(L167&lt;R167,"No","")))</f>
        <v/>
      </c>
      <c r="O167" s="2445"/>
      <c r="P167" s="535"/>
      <c r="R167" s="1525">
        <v>72.099999999999994</v>
      </c>
      <c r="S167" s="53"/>
      <c r="T167" s="590">
        <f t="shared" ref="T167:T168" si="0">IF(OR(M167="Yes",O167="Yes"),1,0)</f>
        <v>0</v>
      </c>
      <c r="U167" s="3800"/>
    </row>
    <row r="168" spans="1:24" s="42" customFormat="1" ht="12" customHeight="1">
      <c r="A168" s="375"/>
      <c r="B168" s="589" t="s">
        <v>3844</v>
      </c>
      <c r="D168" s="3781"/>
      <c r="E168" s="3782"/>
      <c r="F168" s="3783"/>
      <c r="G168" s="2495"/>
      <c r="H168" s="2496"/>
      <c r="I168" s="2497"/>
      <c r="J168" s="2498"/>
      <c r="K168" s="2498"/>
      <c r="L168" s="1526" t="str">
        <f>IF(I168+J168+K168=0,"",AVERAGE(I168,J168,K168))</f>
        <v/>
      </c>
      <c r="M168" s="623" t="str">
        <f>IF(L168="","",IF(L168&gt;R168,"Yes",IF(L168&lt;R168,"No","")))</f>
        <v/>
      </c>
      <c r="O168" s="2446"/>
      <c r="P168" s="536"/>
      <c r="R168" s="1525">
        <v>73.3</v>
      </c>
      <c r="S168" s="53"/>
      <c r="T168" s="590">
        <f t="shared" si="0"/>
        <v>0</v>
      </c>
      <c r="U168" s="3800"/>
    </row>
    <row r="169" spans="1:24" s="42" customFormat="1" ht="1.5" customHeight="1">
      <c r="A169" s="375"/>
      <c r="B169" s="589"/>
      <c r="L169" s="1544"/>
    </row>
    <row r="170" spans="1:24" s="54" customFormat="1" ht="8.25" customHeight="1" thickBot="1">
      <c r="A170" s="902"/>
      <c r="B170" s="428"/>
    </row>
    <row r="171" spans="1:24" s="102" customFormat="1" ht="13.5" customHeight="1" thickBot="1">
      <c r="A171" s="178" t="s">
        <v>1959</v>
      </c>
      <c r="B171" s="9" t="s">
        <v>3847</v>
      </c>
      <c r="C171" s="92"/>
      <c r="D171" s="1086"/>
      <c r="E171" s="1086"/>
      <c r="F171" s="60" t="s">
        <v>3330</v>
      </c>
      <c r="H171" s="39" t="s">
        <v>3738</v>
      </c>
      <c r="M171" s="430">
        <v>2</v>
      </c>
      <c r="N171" s="174"/>
      <c r="O171" s="1089">
        <f>IF(AND(I180="Yes",I181="Yes"),$H$181,IF(AND(I180="Yes",I181="No"),$H$180,0))</f>
        <v>0</v>
      </c>
      <c r="P171" s="1089">
        <f>IF(AND(J180="Yes",J181="Yes"),$H$181,IF(AND(J180="Yes",J181="No"),$H$180,0))</f>
        <v>0</v>
      </c>
      <c r="Q171" s="109"/>
      <c r="R171" s="1087"/>
    </row>
    <row r="172" spans="1:24" s="54" customFormat="1" ht="15" customHeight="1">
      <c r="E172" s="3569" t="s">
        <v>3966</v>
      </c>
      <c r="F172" s="3569" t="s">
        <v>3561</v>
      </c>
      <c r="G172" s="3572" t="s">
        <v>3334</v>
      </c>
      <c r="H172" s="3572"/>
      <c r="I172" s="3572"/>
      <c r="J172" s="3572"/>
      <c r="K172" s="3572"/>
      <c r="L172" s="3572"/>
      <c r="M172" s="3572"/>
      <c r="N172" s="3572"/>
      <c r="P172" s="1116"/>
      <c r="R172" s="51" t="s">
        <v>2780</v>
      </c>
      <c r="S172" s="35"/>
      <c r="T172" s="3560" t="str">
        <f>'Part I-Project Information'!$F$38</f>
        <v>Atlanta</v>
      </c>
      <c r="U172" s="3561"/>
      <c r="V172" s="3561"/>
      <c r="W172" s="3561"/>
      <c r="X172" s="3562"/>
    </row>
    <row r="173" spans="1:24" s="54" customFormat="1" ht="13.5" customHeight="1">
      <c r="A173" s="46"/>
      <c r="B173" s="3583" t="s">
        <v>3850</v>
      </c>
      <c r="C173" s="3583"/>
      <c r="D173" s="3583"/>
      <c r="E173" s="3576"/>
      <c r="F173" s="3576"/>
      <c r="G173" s="3571" t="s">
        <v>3849</v>
      </c>
      <c r="H173" s="3571"/>
      <c r="I173" s="3571"/>
      <c r="J173" s="3571"/>
      <c r="K173" s="3571"/>
      <c r="L173" s="3571"/>
      <c r="M173" s="3571"/>
      <c r="N173" s="3571"/>
      <c r="O173" s="3569" t="s">
        <v>3562</v>
      </c>
      <c r="P173" s="3569"/>
      <c r="R173" s="51" t="s">
        <v>2781</v>
      </c>
      <c r="S173" s="35"/>
      <c r="T173" s="3511" t="str">
        <f>'Part I-Project Information'!$J$39</f>
        <v>Fulton</v>
      </c>
      <c r="U173" s="3512"/>
      <c r="V173" s="3512"/>
      <c r="W173" s="3512"/>
      <c r="X173" s="3513"/>
    </row>
    <row r="174" spans="1:24" s="54" customFormat="1" ht="13.5" customHeight="1">
      <c r="A174" s="46"/>
      <c r="B174" s="3773" t="s">
        <v>3703</v>
      </c>
      <c r="C174" s="3773"/>
      <c r="D174" s="3773"/>
      <c r="E174" s="1769">
        <v>3000</v>
      </c>
      <c r="F174" s="1769">
        <v>6000</v>
      </c>
      <c r="G174" s="3566">
        <v>15000</v>
      </c>
      <c r="H174" s="3566"/>
      <c r="I174" s="3566"/>
      <c r="J174" s="3566"/>
      <c r="K174" s="3566"/>
      <c r="L174" s="3566"/>
      <c r="M174" s="3566"/>
      <c r="N174" s="3566"/>
      <c r="O174" s="3566">
        <v>20000</v>
      </c>
      <c r="P174" s="3566"/>
      <c r="R174" s="39" t="s">
        <v>2782</v>
      </c>
      <c r="S174" s="35"/>
      <c r="T174" s="3511" t="str">
        <f>'Part I-Project Information'!$O$40</f>
        <v>Atlanta-Sandy Springs-Marietta</v>
      </c>
      <c r="U174" s="3512"/>
      <c r="V174" s="3512"/>
      <c r="W174" s="3512"/>
      <c r="X174" s="3513"/>
    </row>
    <row r="175" spans="1:24" s="35" customFormat="1" ht="13.5" customHeight="1">
      <c r="A175" s="46"/>
      <c r="B175" s="3814" t="s">
        <v>3848</v>
      </c>
      <c r="C175" s="3814"/>
      <c r="D175" s="3814"/>
      <c r="E175" s="1770">
        <v>4500</v>
      </c>
      <c r="F175" s="1770">
        <v>9000</v>
      </c>
      <c r="G175" s="3570">
        <v>22500</v>
      </c>
      <c r="H175" s="3570"/>
      <c r="I175" s="3570"/>
      <c r="J175" s="3570"/>
      <c r="K175" s="3570"/>
      <c r="L175" s="3570"/>
      <c r="M175" s="3570"/>
      <c r="N175" s="3570"/>
      <c r="O175" s="3570">
        <v>30000</v>
      </c>
      <c r="P175" s="3570"/>
      <c r="R175" s="39" t="s">
        <v>3731</v>
      </c>
      <c r="T175" s="3511" t="str">
        <f>VLOOKUP('Part I-Project Information'!$J$39,'DCA Underwriting Assumptions'!$G$158:$J$317,4)</f>
        <v>MSA</v>
      </c>
      <c r="U175" s="3512"/>
      <c r="V175" s="3512"/>
      <c r="W175" s="3512"/>
      <c r="X175" s="3513"/>
    </row>
    <row r="176" spans="1:24" s="54" customFormat="1" ht="9" customHeight="1">
      <c r="A176" s="46"/>
      <c r="B176" s="46"/>
      <c r="C176" s="415"/>
      <c r="K176" s="1758"/>
      <c r="L176" s="1758"/>
    </row>
    <row r="177" spans="1:24" s="54" customFormat="1" ht="12" customHeight="1">
      <c r="B177" s="900" t="s">
        <v>3732</v>
      </c>
      <c r="E177" s="899"/>
      <c r="F177" s="899"/>
      <c r="G177" s="899"/>
      <c r="I177" s="2499"/>
      <c r="J177" s="1143"/>
      <c r="R177" s="35" t="s">
        <v>3534</v>
      </c>
      <c r="S177" s="35"/>
      <c r="T177" s="3573" t="str">
        <f>'Part I-Project Information'!$K$40</f>
        <v>Urban</v>
      </c>
      <c r="U177" s="3574"/>
      <c r="V177" s="3574"/>
      <c r="W177" s="3574"/>
      <c r="X177" s="3575"/>
    </row>
    <row r="178" spans="1:24" s="54" customFormat="1" ht="12" customHeight="1">
      <c r="A178" s="902"/>
      <c r="B178" s="428" t="s">
        <v>3533</v>
      </c>
      <c r="H178" s="901" t="str">
        <f>IF(I178&lt;I177,"Threshold not met!","")</f>
        <v/>
      </c>
      <c r="I178" s="2500"/>
      <c r="J178" s="1144"/>
      <c r="K178" s="1118" t="str">
        <f>IF(J178&lt;J177,"Threshold not met!","")</f>
        <v/>
      </c>
    </row>
    <row r="179" spans="1:24" s="54" customFormat="1" ht="8.25" customHeight="1">
      <c r="A179" s="902"/>
      <c r="B179" s="428"/>
    </row>
    <row r="180" spans="1:24" s="54" customFormat="1" ht="11.25" customHeight="1">
      <c r="B180" s="578" t="s">
        <v>1960</v>
      </c>
      <c r="C180" s="35" t="s">
        <v>3965</v>
      </c>
      <c r="D180" s="1059"/>
      <c r="E180" s="1059"/>
      <c r="F180" s="1059"/>
      <c r="G180" s="1059"/>
      <c r="H180" s="1163" t="s">
        <v>1960</v>
      </c>
      <c r="I180" s="1160" t="str">
        <f>IF(OR(I177="",I178=""),"",IF(I178&gt;=I177,"Yes","No"))</f>
        <v/>
      </c>
      <c r="J180" s="1160" t="str">
        <f>IF(OR(J177="",J178=""),"",IF(J178&gt;=J177,"Yes","No"))</f>
        <v/>
      </c>
    </row>
    <row r="181" spans="1:24" s="54" customFormat="1" ht="11.25" customHeight="1">
      <c r="A181" s="1060" t="s">
        <v>1338</v>
      </c>
      <c r="B181" s="578" t="s">
        <v>1962</v>
      </c>
      <c r="C181" s="35" t="s">
        <v>3851</v>
      </c>
      <c r="D181" s="1216"/>
      <c r="E181" s="1216"/>
      <c r="F181" s="1216"/>
      <c r="H181" s="1163" t="s">
        <v>1962</v>
      </c>
      <c r="I181" s="1161" t="str">
        <f>IF(OR(I177="",I178=""),"",IF(I178&gt;=HLOOKUP(I177,$E$174:$P$175,2),"Yes","No"))</f>
        <v/>
      </c>
      <c r="J181" s="1161" t="str">
        <f>IF(OR(J177="",J178=""),"",IF(J178&gt;=HLOOKUP(J177,$E$174:$P$175,2),"Yes","No"))</f>
        <v/>
      </c>
    </row>
    <row r="182" spans="1:24" s="54" customFormat="1" ht="11.25" customHeight="1">
      <c r="B182" s="138"/>
      <c r="C182" s="428" t="s">
        <v>3751</v>
      </c>
      <c r="D182" s="1216"/>
      <c r="E182" s="1216"/>
      <c r="F182" s="1216"/>
      <c r="G182" s="1117"/>
      <c r="I182" s="1162">
        <f>IF(I178="",0,(I178/I177) - 1)</f>
        <v>0</v>
      </c>
      <c r="J182" s="1162">
        <f>IF(J178="",0,(J178/J177) - 1)</f>
        <v>0</v>
      </c>
      <c r="M182" s="1758"/>
    </row>
    <row r="183" spans="1:24" s="54" customFormat="1" ht="9" customHeight="1">
      <c r="A183" s="46"/>
      <c r="B183" s="46"/>
      <c r="C183" s="415"/>
      <c r="F183" s="1760"/>
      <c r="K183" s="1758"/>
      <c r="L183" s="1758"/>
    </row>
    <row r="184" spans="1:24" s="42" customFormat="1" ht="10.5" customHeight="1" thickBot="1">
      <c r="A184" s="41"/>
      <c r="B184" s="1205" t="s">
        <v>3645</v>
      </c>
      <c r="C184" s="41"/>
      <c r="D184" s="47"/>
      <c r="E184" s="47"/>
      <c r="F184" s="47"/>
      <c r="G184" s="47"/>
      <c r="H184" s="35"/>
      <c r="I184" s="35"/>
      <c r="J184" s="35"/>
      <c r="K184" s="35"/>
      <c r="M184" s="45"/>
      <c r="N184" s="61"/>
      <c r="O184" s="2"/>
      <c r="P184" s="1750"/>
    </row>
    <row r="185" spans="1:24" s="42" customFormat="1" ht="21.75" customHeight="1" thickTop="1" thickBot="1">
      <c r="A185" s="3589" t="s">
        <v>4977</v>
      </c>
      <c r="B185" s="3590"/>
      <c r="C185" s="3590"/>
      <c r="D185" s="3590"/>
      <c r="E185" s="3590"/>
      <c r="F185" s="3590"/>
      <c r="G185" s="3590"/>
      <c r="H185" s="3590"/>
      <c r="I185" s="3590"/>
      <c r="J185" s="3590"/>
      <c r="K185" s="3590"/>
      <c r="L185" s="3590"/>
      <c r="M185" s="3590"/>
      <c r="N185" s="3590"/>
      <c r="O185" s="3590"/>
      <c r="P185" s="3591"/>
      <c r="Q185" s="1073" t="s">
        <v>1239</v>
      </c>
    </row>
    <row r="186" spans="1:24" s="42" customFormat="1" ht="10.5" customHeight="1" thickTop="1">
      <c r="A186" s="41"/>
      <c r="B186" s="85" t="s">
        <v>1841</v>
      </c>
      <c r="C186" s="98"/>
      <c r="D186" s="85"/>
      <c r="E186" s="99"/>
      <c r="F186" s="1751"/>
      <c r="G186" s="1751"/>
      <c r="H186" s="1751"/>
      <c r="I186" s="1751"/>
      <c r="J186" s="1751"/>
      <c r="K186" s="1751"/>
      <c r="L186" s="1751"/>
      <c r="M186" s="1751"/>
      <c r="N186" s="74"/>
      <c r="O186" s="70"/>
      <c r="P186" s="1747"/>
      <c r="Q186" s="426"/>
    </row>
    <row r="187" spans="1:24" s="42" customFormat="1" ht="11.25" customHeight="1">
      <c r="A187" s="3258"/>
      <c r="B187" s="3259"/>
      <c r="C187" s="3259"/>
      <c r="D187" s="3259"/>
      <c r="E187" s="3259"/>
      <c r="F187" s="3259"/>
      <c r="G187" s="3259"/>
      <c r="H187" s="3259"/>
      <c r="I187" s="3259"/>
      <c r="J187" s="3259"/>
      <c r="K187" s="3259"/>
      <c r="L187" s="3259"/>
      <c r="M187" s="3259"/>
      <c r="N187" s="3259"/>
      <c r="O187" s="3259"/>
      <c r="P187" s="3260"/>
      <c r="Q187" s="445"/>
      <c r="U187" s="1548"/>
    </row>
    <row r="188" spans="1:24" s="42" customFormat="1" ht="3" customHeight="1" thickBot="1">
      <c r="A188" s="41"/>
      <c r="C188" s="1751"/>
      <c r="D188" s="1751"/>
      <c r="E188" s="1751"/>
      <c r="F188" s="1751"/>
      <c r="G188" s="1751"/>
      <c r="H188" s="1751"/>
      <c r="I188" s="1751"/>
      <c r="J188" s="1751"/>
      <c r="K188" s="1751"/>
      <c r="L188" s="1751"/>
      <c r="M188" s="1751"/>
      <c r="N188" s="74"/>
      <c r="O188" s="70"/>
      <c r="P188" s="887"/>
    </row>
    <row r="189" spans="1:24" s="102" customFormat="1" ht="12.6" customHeight="1" thickBot="1">
      <c r="A189" s="152" t="s">
        <v>761</v>
      </c>
      <c r="B189" s="106" t="s">
        <v>3853</v>
      </c>
      <c r="C189" s="92"/>
      <c r="D189" s="58"/>
      <c r="E189" s="58"/>
      <c r="I189" s="1061"/>
      <c r="J189" s="1061"/>
      <c r="K189" s="580"/>
      <c r="L189" s="580"/>
      <c r="M189" s="1747">
        <v>7</v>
      </c>
      <c r="N189" s="6"/>
      <c r="O189" s="1088">
        <f>IF(OR(O$153&gt;0,O$277&gt;0),0,MIN($M$189,O205+O210))</f>
        <v>7</v>
      </c>
      <c r="P189" s="1089">
        <f>IF(OR(P$153&gt;0,P$277&gt;0),0,MIN($M$189,P205+P210))</f>
        <v>0</v>
      </c>
      <c r="Q189" s="109" t="s">
        <v>437</v>
      </c>
      <c r="R189" s="3577" t="s">
        <v>4507</v>
      </c>
      <c r="S189" s="3578"/>
    </row>
    <row r="190" spans="1:24" s="42" customFormat="1" ht="2.25" customHeight="1">
      <c r="A190" s="429"/>
      <c r="C190" s="165"/>
      <c r="D190" s="165"/>
      <c r="E190" s="172"/>
      <c r="F190" s="165"/>
      <c r="G190" s="165"/>
      <c r="H190" s="165"/>
      <c r="I190" s="165"/>
      <c r="J190" s="165"/>
      <c r="K190" s="165"/>
      <c r="L190" s="165"/>
      <c r="M190" s="165"/>
      <c r="N190" s="165"/>
      <c r="O190" s="165"/>
      <c r="P190" s="165"/>
      <c r="R190" s="3579"/>
      <c r="S190" s="3580"/>
    </row>
    <row r="191" spans="1:24" s="42" customFormat="1" ht="23.25" customHeight="1">
      <c r="A191" s="429"/>
      <c r="B191" s="3468" t="s">
        <v>4507</v>
      </c>
      <c r="C191" s="3468"/>
      <c r="D191" s="3468"/>
      <c r="E191" s="3468"/>
      <c r="F191" s="3468"/>
      <c r="G191" s="3468"/>
      <c r="H191" s="3468"/>
      <c r="I191" s="3468"/>
      <c r="J191" s="3468"/>
      <c r="K191" s="3468"/>
      <c r="L191" s="3468"/>
      <c r="M191" s="3468"/>
      <c r="N191" s="3468"/>
      <c r="O191" s="3468"/>
      <c r="P191" s="3468"/>
      <c r="R191" s="3579"/>
      <c r="S191" s="3580"/>
    </row>
    <row r="192" spans="1:24" s="42" customFormat="1" ht="12" customHeight="1">
      <c r="A192" s="429"/>
      <c r="B192" s="165" t="s">
        <v>3941</v>
      </c>
      <c r="C192" s="165"/>
      <c r="D192" s="165"/>
      <c r="E192" s="165"/>
      <c r="F192" s="165"/>
      <c r="G192" s="165"/>
      <c r="H192" s="165"/>
      <c r="I192" s="165"/>
      <c r="J192" s="165"/>
      <c r="K192" s="1172" t="s">
        <v>2477</v>
      </c>
      <c r="L192" s="1173" t="s">
        <v>2477</v>
      </c>
      <c r="N192" s="1208"/>
      <c r="P192" s="1209"/>
      <c r="R192" s="3579"/>
      <c r="S192" s="3580"/>
    </row>
    <row r="193" spans="1:25" s="392" customFormat="1" ht="11.25" customHeight="1">
      <c r="B193" s="1029" t="s">
        <v>2403</v>
      </c>
      <c r="C193" s="3518" t="s">
        <v>4612</v>
      </c>
      <c r="D193" s="3518"/>
      <c r="E193" s="3518"/>
      <c r="F193" s="3518"/>
      <c r="G193" s="3518"/>
      <c r="H193" s="3518"/>
      <c r="I193" s="3518"/>
      <c r="J193" s="1029" t="s">
        <v>2403</v>
      </c>
      <c r="K193" s="2501" t="s">
        <v>2933</v>
      </c>
      <c r="L193" s="1210"/>
      <c r="M193" s="3584">
        <v>7</v>
      </c>
      <c r="N193" s="3585"/>
      <c r="O193" s="3585"/>
      <c r="P193" s="3586"/>
      <c r="R193" s="3579"/>
      <c r="S193" s="3580"/>
    </row>
    <row r="194" spans="1:25" s="42" customFormat="1" ht="11.25" customHeight="1">
      <c r="A194" s="373"/>
      <c r="B194" s="375"/>
      <c r="C194" s="3518"/>
      <c r="D194" s="3518"/>
      <c r="E194" s="3518"/>
      <c r="F194" s="3518"/>
      <c r="G194" s="3518"/>
      <c r="H194" s="3518"/>
      <c r="I194" s="3518"/>
      <c r="K194" s="1189"/>
      <c r="L194" s="1189"/>
      <c r="R194" s="3579"/>
      <c r="S194" s="3580"/>
    </row>
    <row r="195" spans="1:25" s="102" customFormat="1" ht="11.25" customHeight="1">
      <c r="A195" s="429"/>
      <c r="B195" s="375" t="s">
        <v>2404</v>
      </c>
      <c r="C195" s="3517" t="s">
        <v>4501</v>
      </c>
      <c r="D195" s="3517"/>
      <c r="E195" s="3517"/>
      <c r="F195" s="3517"/>
      <c r="G195" s="3517"/>
      <c r="J195" s="375" t="s">
        <v>2404</v>
      </c>
      <c r="K195" s="2502" t="s">
        <v>2933</v>
      </c>
      <c r="L195" s="538"/>
      <c r="M195" s="3792" t="s">
        <v>4978</v>
      </c>
      <c r="N195" s="3793"/>
      <c r="O195" s="3793"/>
      <c r="P195" s="3794"/>
      <c r="R195" s="3579"/>
      <c r="S195" s="3580"/>
    </row>
    <row r="196" spans="1:25" s="32" customFormat="1" ht="11.25" customHeight="1">
      <c r="B196" s="375" t="s">
        <v>2405</v>
      </c>
      <c r="C196" s="491" t="s">
        <v>4502</v>
      </c>
      <c r="D196" s="491"/>
      <c r="E196" s="491"/>
      <c r="F196" s="491"/>
      <c r="G196" s="491"/>
      <c r="H196" s="491"/>
      <c r="J196" s="375" t="s">
        <v>2405</v>
      </c>
      <c r="K196" s="2503" t="s">
        <v>2933</v>
      </c>
      <c r="L196" s="1594"/>
      <c r="M196" s="3563" t="s">
        <v>4979</v>
      </c>
      <c r="N196" s="3564"/>
      <c r="O196" s="3564"/>
      <c r="P196" s="3565"/>
      <c r="R196" s="3579"/>
      <c r="S196" s="3580"/>
    </row>
    <row r="197" spans="1:25" s="32" customFormat="1" ht="11.25" customHeight="1">
      <c r="B197" s="375" t="s">
        <v>2407</v>
      </c>
      <c r="C197" s="134" t="s">
        <v>4503</v>
      </c>
      <c r="D197" s="491"/>
      <c r="E197" s="491"/>
      <c r="F197" s="491"/>
      <c r="G197" s="491"/>
      <c r="H197" s="491"/>
      <c r="J197" s="375" t="s">
        <v>2407</v>
      </c>
      <c r="K197" s="2503" t="s">
        <v>2933</v>
      </c>
      <c r="L197" s="1594"/>
      <c r="M197" s="3563" t="s">
        <v>4980</v>
      </c>
      <c r="N197" s="3564"/>
      <c r="O197" s="3564"/>
      <c r="P197" s="3565"/>
      <c r="R197" s="3579"/>
      <c r="S197" s="3580"/>
    </row>
    <row r="198" spans="1:25" s="32" customFormat="1" ht="11.25" customHeight="1">
      <c r="B198" s="375" t="s">
        <v>2406</v>
      </c>
      <c r="C198" s="51" t="s">
        <v>4505</v>
      </c>
      <c r="D198" s="51"/>
      <c r="E198" s="51"/>
      <c r="F198" s="51"/>
      <c r="G198" s="51"/>
      <c r="H198" s="51"/>
      <c r="J198" s="375" t="s">
        <v>2406</v>
      </c>
      <c r="K198" s="2503" t="s">
        <v>2933</v>
      </c>
      <c r="L198" s="1594"/>
      <c r="M198" s="3563" t="s">
        <v>4981</v>
      </c>
      <c r="N198" s="3564"/>
      <c r="O198" s="3564"/>
      <c r="P198" s="3565"/>
      <c r="R198" s="3579"/>
      <c r="S198" s="3580"/>
    </row>
    <row r="199" spans="1:25" s="32" customFormat="1" ht="11.25" customHeight="1">
      <c r="B199" s="387" t="s">
        <v>2423</v>
      </c>
      <c r="C199" s="51" t="s">
        <v>4504</v>
      </c>
      <c r="D199" s="491"/>
      <c r="E199" s="491"/>
      <c r="F199" s="491"/>
      <c r="G199" s="491"/>
      <c r="J199" s="387" t="s">
        <v>2423</v>
      </c>
      <c r="K199" s="2503" t="s">
        <v>2933</v>
      </c>
      <c r="L199" s="1594"/>
      <c r="M199" s="3811" t="s">
        <v>4982</v>
      </c>
      <c r="N199" s="3812"/>
      <c r="O199" s="3812"/>
      <c r="P199" s="3813"/>
      <c r="R199" s="3579"/>
      <c r="S199" s="3580"/>
    </row>
    <row r="200" spans="1:25" s="32" customFormat="1" ht="11.25" customHeight="1">
      <c r="B200" s="387" t="s">
        <v>2424</v>
      </c>
      <c r="C200" s="3531" t="s">
        <v>4610</v>
      </c>
      <c r="D200" s="3531"/>
      <c r="E200" s="3531"/>
      <c r="F200" s="3531"/>
      <c r="G200" s="3531"/>
      <c r="H200" s="3531"/>
      <c r="I200" s="1605"/>
      <c r="J200" s="387" t="s">
        <v>2424</v>
      </c>
      <c r="K200" s="2503" t="s">
        <v>2933</v>
      </c>
      <c r="L200" s="1594"/>
      <c r="R200" s="3579"/>
      <c r="S200" s="3580"/>
    </row>
    <row r="201" spans="1:25" s="42" customFormat="1" ht="11.25" customHeight="1">
      <c r="A201" s="373"/>
      <c r="B201" s="375"/>
      <c r="C201" s="3531"/>
      <c r="D201" s="3531"/>
      <c r="E201" s="3531"/>
      <c r="F201" s="3531"/>
      <c r="G201" s="3531"/>
      <c r="H201" s="3531"/>
      <c r="I201" s="1605"/>
      <c r="J201" s="387" t="s">
        <v>4611</v>
      </c>
      <c r="K201" s="2504">
        <v>43283</v>
      </c>
      <c r="L201" s="1606"/>
      <c r="M201" s="491"/>
      <c r="N201" s="491"/>
      <c r="O201" s="491"/>
      <c r="P201" s="491"/>
      <c r="R201" s="3579"/>
      <c r="S201" s="3580"/>
    </row>
    <row r="202" spans="1:25" s="32" customFormat="1" ht="11.25" customHeight="1">
      <c r="B202" s="1029" t="s">
        <v>2425</v>
      </c>
      <c r="C202" s="3518" t="s">
        <v>4508</v>
      </c>
      <c r="D202" s="3518"/>
      <c r="E202" s="3518"/>
      <c r="F202" s="3518"/>
      <c r="G202" s="3518"/>
      <c r="H202" s="3518"/>
      <c r="I202" s="3518"/>
      <c r="J202" s="387" t="s">
        <v>2425</v>
      </c>
      <c r="K202" s="2505" t="s">
        <v>4920</v>
      </c>
      <c r="L202" s="539"/>
      <c r="R202" s="3579"/>
      <c r="S202" s="3580"/>
    </row>
    <row r="203" spans="1:25" s="42" customFormat="1" ht="11.25" customHeight="1" thickBot="1">
      <c r="A203" s="373"/>
      <c r="B203" s="375"/>
      <c r="C203" s="3518"/>
      <c r="D203" s="3518"/>
      <c r="E203" s="3518"/>
      <c r="F203" s="3518"/>
      <c r="G203" s="3518"/>
      <c r="H203" s="3518"/>
      <c r="I203" s="3518"/>
      <c r="K203" s="1189"/>
      <c r="L203" s="1189"/>
      <c r="R203" s="3581"/>
      <c r="S203" s="3582"/>
    </row>
    <row r="204" spans="1:25" ht="4.5" customHeight="1">
      <c r="B204" s="387"/>
      <c r="C204" s="491"/>
      <c r="K204" s="39"/>
      <c r="M204" s="373"/>
      <c r="N204" s="373"/>
      <c r="O204" s="373"/>
      <c r="P204" s="373"/>
    </row>
    <row r="205" spans="1:25" ht="11.25" customHeight="1">
      <c r="A205" s="138" t="s">
        <v>1957</v>
      </c>
      <c r="B205" s="177" t="s">
        <v>3852</v>
      </c>
      <c r="H205" s="158"/>
      <c r="I205" s="431" t="s">
        <v>4506</v>
      </c>
      <c r="M205" s="430">
        <v>5</v>
      </c>
      <c r="N205" s="46" t="s">
        <v>1957</v>
      </c>
      <c r="O205" s="543">
        <f>IF(SUM(O206:O207)=$M$207,0,MIN($M$205,SUM(O206:O207)))</f>
        <v>5</v>
      </c>
      <c r="P205" s="543">
        <f>IF(SUM(P206:P207)=$M$207,0,MIN($M$205,SUM(P206:P207)))</f>
        <v>0</v>
      </c>
      <c r="Q205" s="1026"/>
      <c r="X205" s="373"/>
      <c r="Y205" s="375"/>
    </row>
    <row r="206" spans="1:25" ht="22.5" customHeight="1">
      <c r="A206" s="508"/>
      <c r="B206" s="586" t="s">
        <v>1960</v>
      </c>
      <c r="C206" s="3516" t="s">
        <v>4599</v>
      </c>
      <c r="D206" s="3516"/>
      <c r="E206" s="3516"/>
      <c r="F206" s="3516"/>
      <c r="G206" s="3516"/>
      <c r="H206" s="3516"/>
      <c r="I206" s="3516"/>
      <c r="J206" s="3516"/>
      <c r="K206" s="3516"/>
      <c r="L206" s="3516"/>
      <c r="M206" s="1131">
        <v>3</v>
      </c>
      <c r="N206" s="478" t="s">
        <v>1960</v>
      </c>
      <c r="O206" s="2483">
        <v>3</v>
      </c>
      <c r="P206" s="861"/>
      <c r="Q206" s="1603" t="str">
        <f>IF(OR($O206=$M206,$O206=0,$O206=""),"","*CHECK!*")</f>
        <v/>
      </c>
      <c r="R206" s="1016" t="s">
        <v>2667</v>
      </c>
    </row>
    <row r="207" spans="1:25" ht="12" customHeight="1">
      <c r="A207" s="508"/>
      <c r="B207" s="586" t="s">
        <v>1962</v>
      </c>
      <c r="C207" s="1028" t="s">
        <v>4597</v>
      </c>
      <c r="D207" s="1028"/>
      <c r="E207" s="1028"/>
      <c r="F207" s="1028"/>
      <c r="G207" s="1028"/>
      <c r="H207" s="1028"/>
      <c r="I207" s="1028"/>
      <c r="J207" s="433" t="s">
        <v>3667</v>
      </c>
      <c r="K207" s="32"/>
      <c r="L207" s="1592" t="str">
        <f>'Part I-Project Information'!$N$39</f>
        <v>Yes</v>
      </c>
      <c r="M207" s="1762">
        <v>2</v>
      </c>
      <c r="N207" s="435" t="s">
        <v>1962</v>
      </c>
      <c r="O207" s="2480">
        <v>2</v>
      </c>
      <c r="P207" s="530"/>
      <c r="Q207" s="1020" t="str">
        <f>IF(OR($O207=$M207,$O207=0,$O207=""),"","*CHECK!*")</f>
        <v/>
      </c>
      <c r="R207" s="1016" t="s">
        <v>2667</v>
      </c>
    </row>
    <row r="208" spans="1:25" ht="12" customHeight="1">
      <c r="A208" s="508"/>
      <c r="B208" s="586"/>
      <c r="C208" s="3517" t="s">
        <v>4598</v>
      </c>
      <c r="D208" s="3517"/>
      <c r="E208" s="3517"/>
      <c r="F208" s="3517"/>
      <c r="G208" s="3517"/>
      <c r="H208" s="3517"/>
      <c r="I208" s="1565"/>
      <c r="J208" s="433" t="s">
        <v>3504</v>
      </c>
      <c r="K208" s="1595"/>
      <c r="L208" s="1593" t="str">
        <f>'Part I-Project Information'!$O$38</f>
        <v>0067.00</v>
      </c>
      <c r="M208" s="1772"/>
      <c r="N208" s="1131"/>
      <c r="O208" s="1131"/>
      <c r="P208" s="1131"/>
      <c r="Q208" s="1020"/>
      <c r="R208" s="1016"/>
    </row>
    <row r="209" spans="1:23" ht="12" customHeight="1">
      <c r="A209" s="508"/>
      <c r="B209" s="474"/>
      <c r="C209" s="3517"/>
      <c r="D209" s="3517"/>
      <c r="E209" s="3517"/>
      <c r="F209" s="3517"/>
      <c r="G209" s="3517"/>
      <c r="H209" s="3517"/>
      <c r="J209" s="433" t="s">
        <v>3314</v>
      </c>
      <c r="K209" s="32"/>
      <c r="L209" s="1591" t="str">
        <f>'Part IV-A-Uses of Funds'!$H$152</f>
        <v>DDA/QCT</v>
      </c>
      <c r="M209" s="1591"/>
      <c r="N209" s="26"/>
      <c r="O209" s="26"/>
      <c r="P209" s="26"/>
      <c r="R209" s="158"/>
    </row>
    <row r="210" spans="1:23" ht="12" customHeight="1">
      <c r="A210" s="138" t="s">
        <v>1959</v>
      </c>
      <c r="B210" s="177" t="s">
        <v>4509</v>
      </c>
      <c r="D210" s="32"/>
      <c r="F210" s="1554"/>
      <c r="K210" s="1164"/>
      <c r="L210" s="376" t="str">
        <f>IF(OR($O210=$M210,$O210=0,$O210=""),"","* * Check Score! * *")</f>
        <v/>
      </c>
      <c r="M210" s="430">
        <v>2</v>
      </c>
      <c r="N210" s="63" t="s">
        <v>1959</v>
      </c>
      <c r="O210" s="2484">
        <v>2</v>
      </c>
      <c r="P210" s="860"/>
      <c r="Q210" s="1020" t="str">
        <f>IF(OR($O210=$M210,$O210=0,$O210=""),"","*CHECK!*")</f>
        <v/>
      </c>
      <c r="R210" s="1016" t="s">
        <v>2667</v>
      </c>
    </row>
    <row r="211" spans="1:23" s="42" customFormat="1" ht="9.75" customHeight="1">
      <c r="A211" s="138"/>
      <c r="B211" s="102"/>
      <c r="C211" s="35" t="s">
        <v>2748</v>
      </c>
      <c r="D211" s="38"/>
      <c r="E211" s="35"/>
      <c r="F211" s="887"/>
      <c r="G211" s="102"/>
      <c r="H211" s="134"/>
      <c r="I211" s="102"/>
      <c r="J211" s="613" t="str">
        <f>'Part I-Project Information'!$H$105</f>
        <v>Flexible</v>
      </c>
      <c r="K211" s="897"/>
      <c r="L211" s="102"/>
      <c r="M211" s="102"/>
      <c r="N211" s="102"/>
      <c r="O211" s="102"/>
      <c r="P211" s="102"/>
      <c r="T211" s="376" t="str">
        <f>IF(OR($O210=$M210,$O210=0,$O210=""),"","* * Check Score! * *")</f>
        <v/>
      </c>
      <c r="V211" s="1069"/>
      <c r="W211" s="1069"/>
    </row>
    <row r="212" spans="1:23" s="42" customFormat="1" ht="51" customHeight="1">
      <c r="A212" s="175"/>
      <c r="B212" s="174" t="s">
        <v>3668</v>
      </c>
      <c r="C212" s="35" t="s">
        <v>3728</v>
      </c>
      <c r="D212" s="102"/>
      <c r="E212" s="102"/>
      <c r="F212" s="102"/>
      <c r="G212" s="102"/>
      <c r="H212" s="102"/>
      <c r="I212" s="102"/>
      <c r="J212" s="3519" t="s">
        <v>4983</v>
      </c>
      <c r="K212" s="3520"/>
      <c r="L212" s="3520"/>
      <c r="M212" s="3520"/>
      <c r="N212" s="3520"/>
      <c r="O212" s="3520"/>
      <c r="P212" s="3521"/>
      <c r="V212" s="1069"/>
      <c r="W212" s="1069"/>
    </row>
    <row r="213" spans="1:23" s="42" customFormat="1" ht="14.1" customHeight="1">
      <c r="A213" s="175"/>
      <c r="B213" s="463" t="s">
        <v>3669</v>
      </c>
      <c r="C213" s="433" t="s">
        <v>3729</v>
      </c>
      <c r="D213" s="102"/>
      <c r="E213" s="102"/>
      <c r="F213" s="102"/>
      <c r="G213" s="102"/>
      <c r="H213" s="102"/>
      <c r="I213" s="1512" t="str">
        <f>IF($J$213="Government", "Additional documentation required - see QAP.","")</f>
        <v/>
      </c>
      <c r="J213" s="3474" t="s">
        <v>4986</v>
      </c>
      <c r="K213" s="3567"/>
      <c r="L213" s="3568"/>
      <c r="M213" s="102"/>
      <c r="N213" s="102"/>
      <c r="O213" s="102"/>
      <c r="P213" s="102"/>
      <c r="V213" s="1069"/>
      <c r="W213" s="1069"/>
    </row>
    <row r="214" spans="1:23" ht="18.600000000000001" customHeight="1">
      <c r="A214" s="176"/>
      <c r="B214" s="463" t="s">
        <v>3670</v>
      </c>
      <c r="C214" s="433" t="s">
        <v>4514</v>
      </c>
      <c r="D214" s="32"/>
      <c r="E214" s="32"/>
      <c r="F214" s="585"/>
      <c r="G214" s="585"/>
      <c r="H214" s="585"/>
      <c r="I214" s="32"/>
      <c r="J214" s="2444" t="s">
        <v>2933</v>
      </c>
      <c r="K214" s="3522" t="s">
        <v>4511</v>
      </c>
      <c r="L214" s="3523"/>
      <c r="M214" s="3523"/>
      <c r="N214" s="3523"/>
      <c r="O214" s="1550"/>
      <c r="P214" s="92"/>
      <c r="V214" s="1069"/>
      <c r="W214" s="1069"/>
    </row>
    <row r="215" spans="1:23" ht="17.399999999999999">
      <c r="A215" s="176"/>
      <c r="B215" s="387" t="s">
        <v>3672</v>
      </c>
      <c r="C215" s="433" t="s">
        <v>4510</v>
      </c>
      <c r="D215" s="32"/>
      <c r="E215" s="32"/>
      <c r="F215" s="585"/>
      <c r="G215" s="585"/>
      <c r="H215" s="585"/>
      <c r="I215" s="32"/>
      <c r="J215" s="2445" t="s">
        <v>2933</v>
      </c>
      <c r="K215" s="3522"/>
      <c r="L215" s="3523"/>
      <c r="M215" s="3523"/>
      <c r="N215" s="3523"/>
      <c r="O215" s="2506">
        <v>0.5</v>
      </c>
      <c r="P215" s="1551" t="s">
        <v>3675</v>
      </c>
      <c r="V215" s="1069"/>
      <c r="W215" s="1069"/>
    </row>
    <row r="216" spans="1:23" ht="11.25" customHeight="1">
      <c r="A216" s="176"/>
      <c r="B216" s="387" t="s">
        <v>3673</v>
      </c>
      <c r="C216" s="433" t="s">
        <v>4513</v>
      </c>
      <c r="D216" s="32"/>
      <c r="E216" s="32"/>
      <c r="F216" s="585"/>
      <c r="G216" s="585"/>
      <c r="H216" s="585"/>
      <c r="I216" s="32"/>
      <c r="J216" s="2446" t="s">
        <v>2933</v>
      </c>
      <c r="L216" s="1552" t="s">
        <v>4512</v>
      </c>
      <c r="N216" s="1553"/>
      <c r="O216" s="3524">
        <v>43465</v>
      </c>
      <c r="P216" s="3525"/>
      <c r="V216" s="1069"/>
      <c r="W216" s="1069"/>
    </row>
    <row r="217" spans="1:23" ht="2.25" customHeight="1">
      <c r="A217" s="176"/>
      <c r="G217" s="391"/>
      <c r="L217" s="1145"/>
      <c r="V217" s="1069"/>
      <c r="W217" s="1069"/>
    </row>
    <row r="218" spans="1:23" ht="28.5" customHeight="1">
      <c r="A218" s="3819" t="s">
        <v>3969</v>
      </c>
      <c r="B218" s="3817" t="s">
        <v>3967</v>
      </c>
      <c r="C218" s="3818"/>
      <c r="D218" s="2746" t="s">
        <v>4985</v>
      </c>
      <c r="E218" s="2747"/>
      <c r="F218" s="2747"/>
      <c r="G218" s="2747"/>
      <c r="H218" s="2747"/>
      <c r="I218" s="2747"/>
      <c r="J218" s="2747"/>
      <c r="K218" s="2747"/>
      <c r="L218" s="2747"/>
      <c r="M218" s="2747"/>
      <c r="N218" s="2747"/>
      <c r="O218" s="2747"/>
      <c r="P218" s="2749"/>
      <c r="Q218" s="445"/>
      <c r="V218" s="1069"/>
      <c r="W218" s="1069"/>
    </row>
    <row r="219" spans="1:23" ht="27" customHeight="1">
      <c r="A219" s="3820"/>
      <c r="B219" s="3815" t="s">
        <v>3968</v>
      </c>
      <c r="C219" s="3816"/>
      <c r="D219" s="2726" t="s">
        <v>5012</v>
      </c>
      <c r="E219" s="2727"/>
      <c r="F219" s="2727"/>
      <c r="G219" s="2727"/>
      <c r="H219" s="2727"/>
      <c r="I219" s="2727"/>
      <c r="J219" s="2727"/>
      <c r="K219" s="2727"/>
      <c r="L219" s="2727"/>
      <c r="M219" s="2727"/>
      <c r="N219" s="2727"/>
      <c r="O219" s="2727"/>
      <c r="P219" s="2729"/>
      <c r="Q219" s="445"/>
      <c r="V219" s="1069"/>
      <c r="W219" s="1069"/>
    </row>
    <row r="220" spans="1:23" ht="31.5" customHeight="1">
      <c r="A220" s="3821"/>
      <c r="B220" s="3824" t="s">
        <v>4593</v>
      </c>
      <c r="C220" s="3825"/>
      <c r="D220" s="2733" t="s">
        <v>4984</v>
      </c>
      <c r="E220" s="2734"/>
      <c r="F220" s="2734"/>
      <c r="G220" s="2734"/>
      <c r="H220" s="2734"/>
      <c r="I220" s="2734"/>
      <c r="J220" s="2734"/>
      <c r="K220" s="2734"/>
      <c r="L220" s="2734"/>
      <c r="M220" s="2734"/>
      <c r="N220" s="2734"/>
      <c r="O220" s="2734"/>
      <c r="P220" s="2736"/>
      <c r="Q220" s="445"/>
      <c r="V220" s="1069"/>
      <c r="W220" s="1069"/>
    </row>
    <row r="221" spans="1:23" ht="11.25" customHeight="1">
      <c r="B221" s="35" t="s">
        <v>3388</v>
      </c>
      <c r="G221" s="3797" t="s">
        <v>2595</v>
      </c>
      <c r="H221" s="3797"/>
      <c r="J221" s="3795">
        <v>4715175</v>
      </c>
      <c r="K221" s="3796"/>
      <c r="L221" s="3822"/>
      <c r="M221" s="3823"/>
      <c r="V221" s="1069"/>
      <c r="W221" s="1069"/>
    </row>
    <row r="222" spans="1:23" s="42" customFormat="1" ht="11.25" customHeight="1">
      <c r="C222" s="35" t="s">
        <v>3389</v>
      </c>
      <c r="D222" s="1751"/>
      <c r="G222" s="3826">
        <f>'Part IV-A-Uses of Funds'!$G$132</f>
        <v>15872847</v>
      </c>
      <c r="H222" s="3827"/>
      <c r="J222" s="3790">
        <f>IF($J221=0,0,$J221/$G$222)</f>
        <v>0.29705918541267362</v>
      </c>
      <c r="K222" s="3791"/>
      <c r="L222" s="3790">
        <f>IF($L221=0,0,$L221/$G$222)</f>
        <v>0</v>
      </c>
      <c r="M222" s="3791"/>
      <c r="V222" s="1069"/>
      <c r="W222" s="1069"/>
    </row>
    <row r="223" spans="1:23" s="102" customFormat="1" ht="10.5" customHeight="1" thickBot="1">
      <c r="A223" s="41"/>
      <c r="B223" s="1205" t="s">
        <v>3645</v>
      </c>
      <c r="C223" s="41"/>
      <c r="D223" s="47"/>
      <c r="E223" s="47"/>
      <c r="F223" s="47"/>
      <c r="G223" s="47"/>
      <c r="H223" s="35"/>
      <c r="I223" s="35"/>
      <c r="J223" s="35"/>
      <c r="K223" s="35"/>
      <c r="M223" s="45"/>
      <c r="N223" s="5"/>
      <c r="O223" s="2"/>
      <c r="P223" s="1747"/>
    </row>
    <row r="224" spans="1:23" s="42" customFormat="1" ht="21.75" customHeight="1" thickTop="1" thickBot="1">
      <c r="A224" s="3589" t="s">
        <v>5013</v>
      </c>
      <c r="B224" s="3590"/>
      <c r="C224" s="3590"/>
      <c r="D224" s="3590"/>
      <c r="E224" s="3590"/>
      <c r="F224" s="3590"/>
      <c r="G224" s="3590"/>
      <c r="H224" s="3590"/>
      <c r="I224" s="3590"/>
      <c r="J224" s="3590"/>
      <c r="K224" s="3590"/>
      <c r="L224" s="3590"/>
      <c r="M224" s="3590"/>
      <c r="N224" s="3590"/>
      <c r="O224" s="3590"/>
      <c r="P224" s="3591"/>
      <c r="Q224" s="1073" t="s">
        <v>1239</v>
      </c>
    </row>
    <row r="225" spans="1:23" s="102" customFormat="1" ht="11.4" customHeight="1" thickTop="1">
      <c r="A225" s="41"/>
      <c r="B225" s="97" t="s">
        <v>1841</v>
      </c>
      <c r="C225" s="41"/>
      <c r="D225" s="97"/>
      <c r="E225" s="1756"/>
      <c r="F225" s="1756"/>
      <c r="G225" s="1756"/>
      <c r="H225" s="1756"/>
      <c r="I225" s="1756"/>
      <c r="J225" s="1756"/>
      <c r="K225" s="1756"/>
      <c r="L225" s="1756"/>
      <c r="M225" s="1756"/>
      <c r="N225" s="93"/>
      <c r="O225" s="872"/>
      <c r="P225" s="1747"/>
      <c r="Q225" s="426"/>
    </row>
    <row r="226" spans="1:23" s="42" customFormat="1" ht="11.25" customHeight="1">
      <c r="A226" s="3258"/>
      <c r="B226" s="3259"/>
      <c r="C226" s="3259"/>
      <c r="D226" s="3259"/>
      <c r="E226" s="3259"/>
      <c r="F226" s="3259"/>
      <c r="G226" s="3259"/>
      <c r="H226" s="3259"/>
      <c r="I226" s="3259"/>
      <c r="J226" s="3259"/>
      <c r="K226" s="3259"/>
      <c r="L226" s="3259"/>
      <c r="M226" s="3259"/>
      <c r="N226" s="3259"/>
      <c r="O226" s="3259"/>
      <c r="P226" s="3260"/>
      <c r="Q226" s="445"/>
    </row>
    <row r="227" spans="1:23" s="42" customFormat="1" ht="3" customHeight="1" thickBot="1">
      <c r="A227" s="41"/>
      <c r="C227" s="1751"/>
      <c r="D227" s="1751"/>
      <c r="E227" s="1751"/>
      <c r="F227" s="1751"/>
      <c r="G227" s="1751"/>
      <c r="H227" s="1751"/>
      <c r="I227" s="1751"/>
      <c r="J227" s="1751"/>
      <c r="K227" s="1751"/>
      <c r="L227" s="1751"/>
      <c r="M227" s="1751"/>
      <c r="N227" s="74"/>
      <c r="O227" s="70"/>
      <c r="P227" s="887"/>
    </row>
    <row r="228" spans="1:23" s="42" customFormat="1" ht="13.5" customHeight="1" thickBot="1">
      <c r="A228" s="152" t="s">
        <v>289</v>
      </c>
      <c r="B228" s="106" t="s">
        <v>3854</v>
      </c>
      <c r="C228" s="1751"/>
      <c r="D228" s="1751"/>
      <c r="E228" s="1751"/>
      <c r="F228" s="1751"/>
      <c r="G228" s="1751"/>
      <c r="H228" s="1751"/>
      <c r="I228" s="1751"/>
      <c r="J228" s="1751"/>
      <c r="M228" s="887">
        <v>3</v>
      </c>
      <c r="N228" s="74"/>
      <c r="O228" s="70"/>
      <c r="P228" s="1122"/>
      <c r="Q228" s="109" t="s">
        <v>437</v>
      </c>
      <c r="R228" s="1016" t="s">
        <v>2667</v>
      </c>
    </row>
    <row r="229" spans="1:23" s="42" customFormat="1" ht="13.5" customHeight="1">
      <c r="A229" s="152"/>
      <c r="B229" s="103" t="s">
        <v>4279</v>
      </c>
      <c r="C229" s="1751"/>
      <c r="D229" s="1751"/>
      <c r="E229" s="1751"/>
      <c r="F229" s="1751"/>
      <c r="G229" s="1751"/>
      <c r="H229" s="1751"/>
      <c r="I229" s="1751"/>
      <c r="J229" s="1751"/>
      <c r="K229" s="1752"/>
      <c r="L229" s="1555" t="str">
        <f>IF(OR(O$153&gt;0,O$277&gt;0),"Applicant is ineligible for points in this section!  Points claimed in VI or IX.","")</f>
        <v/>
      </c>
      <c r="M229" s="887"/>
      <c r="N229" s="74"/>
      <c r="O229" s="2447" t="s">
        <v>2933</v>
      </c>
      <c r="P229" s="1408"/>
      <c r="Q229" s="109"/>
      <c r="R229" s="1016"/>
    </row>
    <row r="230" spans="1:23" s="42" customFormat="1" ht="13.5" customHeight="1">
      <c r="A230" s="152"/>
      <c r="B230" s="113" t="s">
        <v>3855</v>
      </c>
      <c r="C230" s="1751"/>
      <c r="D230" s="1751"/>
      <c r="E230" s="1751"/>
      <c r="F230" s="1751"/>
      <c r="G230" s="1751"/>
      <c r="H230" s="1751"/>
      <c r="I230" s="1751"/>
      <c r="J230" s="1751"/>
      <c r="K230" s="1752" t="s">
        <v>3189</v>
      </c>
      <c r="L230" s="1752" t="s">
        <v>253</v>
      </c>
      <c r="M230" s="887"/>
      <c r="N230" s="74"/>
      <c r="O230" s="70"/>
      <c r="P230" s="70"/>
      <c r="Q230" s="109"/>
      <c r="R230" s="1016"/>
    </row>
    <row r="231" spans="1:23" s="42" customFormat="1" ht="11.25" customHeight="1">
      <c r="A231" s="138"/>
      <c r="C231" s="54" t="s">
        <v>4521</v>
      </c>
      <c r="K231" s="1169">
        <f>$O$189</f>
        <v>7</v>
      </c>
      <c r="L231" s="1170">
        <f>$P$189</f>
        <v>0</v>
      </c>
      <c r="N231" s="463" t="s">
        <v>2403</v>
      </c>
      <c r="O231" s="2444" t="s">
        <v>2933</v>
      </c>
      <c r="P231" s="534"/>
      <c r="R231" s="376"/>
    </row>
    <row r="232" spans="1:23" s="42" customFormat="1" ht="11.25" customHeight="1">
      <c r="A232" s="138"/>
      <c r="C232" s="54" t="s">
        <v>4522</v>
      </c>
      <c r="K232" s="1169">
        <f>$O$107</f>
        <v>4</v>
      </c>
      <c r="L232" s="1170">
        <f>$P$107</f>
        <v>0</v>
      </c>
      <c r="N232" s="463" t="s">
        <v>2404</v>
      </c>
      <c r="O232" s="2445" t="s">
        <v>2933</v>
      </c>
      <c r="P232" s="535"/>
      <c r="R232" s="1069"/>
      <c r="S232" s="1069"/>
    </row>
    <row r="233" spans="1:23" s="42" customFormat="1" ht="11.25" customHeight="1">
      <c r="C233" s="54" t="s">
        <v>4523</v>
      </c>
      <c r="N233" s="463" t="s">
        <v>2405</v>
      </c>
      <c r="O233" s="2446" t="s">
        <v>2933</v>
      </c>
      <c r="P233" s="535"/>
      <c r="R233" s="1069"/>
      <c r="S233" s="1069"/>
    </row>
    <row r="234" spans="1:23" s="42" customFormat="1" ht="11.25" customHeight="1">
      <c r="A234" s="138"/>
      <c r="C234" s="54" t="s">
        <v>3856</v>
      </c>
      <c r="K234" s="1543" t="str">
        <f>'Part I-Project Information'!F38</f>
        <v>Atlanta</v>
      </c>
      <c r="L234" s="1544"/>
      <c r="N234" s="463" t="s">
        <v>2406</v>
      </c>
      <c r="O234" s="463"/>
      <c r="P234" s="535"/>
      <c r="R234" s="1069"/>
      <c r="S234" s="1069"/>
    </row>
    <row r="235" spans="1:23" s="42" customFormat="1" ht="11.25" customHeight="1">
      <c r="A235" s="138"/>
      <c r="C235" s="54" t="s">
        <v>4614</v>
      </c>
      <c r="K235" s="1169">
        <f>$O$153</f>
        <v>0</v>
      </c>
      <c r="L235" s="1170">
        <f>$P$153</f>
        <v>0</v>
      </c>
      <c r="N235" s="463" t="s">
        <v>2407</v>
      </c>
      <c r="O235" s="2444" t="s">
        <v>2936</v>
      </c>
      <c r="P235" s="535"/>
      <c r="R235" s="1069"/>
      <c r="S235" s="1069"/>
    </row>
    <row r="236" spans="1:23" s="42" customFormat="1" ht="11.25" customHeight="1">
      <c r="A236" s="138"/>
      <c r="C236" s="54" t="s">
        <v>4613</v>
      </c>
      <c r="K236" s="1169">
        <f>$O$277</f>
        <v>0</v>
      </c>
      <c r="L236" s="1170">
        <f>$P$277</f>
        <v>0</v>
      </c>
      <c r="N236" s="463" t="s">
        <v>2406</v>
      </c>
      <c r="O236" s="2446" t="s">
        <v>2936</v>
      </c>
      <c r="P236" s="536"/>
      <c r="R236" s="1069"/>
      <c r="S236" s="1069"/>
    </row>
    <row r="237" spans="1:23" s="42" customFormat="1" ht="3" customHeight="1">
      <c r="A237" s="41"/>
      <c r="C237" s="1751"/>
      <c r="D237" s="1751"/>
      <c r="E237" s="1751"/>
      <c r="F237" s="1751"/>
      <c r="G237" s="1751"/>
      <c r="H237" s="1751"/>
      <c r="I237" s="1751"/>
      <c r="J237" s="1751"/>
      <c r="K237" s="1751"/>
      <c r="L237" s="1751"/>
      <c r="M237" s="1751"/>
      <c r="N237" s="74"/>
      <c r="O237" s="70"/>
      <c r="P237" s="887"/>
    </row>
    <row r="238" spans="1:23" ht="11.25" customHeight="1">
      <c r="A238" s="138" t="s">
        <v>1957</v>
      </c>
      <c r="B238" s="177" t="s">
        <v>3858</v>
      </c>
      <c r="D238" s="32"/>
      <c r="G238" s="474" t="s">
        <v>3671</v>
      </c>
      <c r="N238" s="26"/>
      <c r="O238" s="26"/>
      <c r="P238" s="26"/>
      <c r="Q238" s="1026"/>
    </row>
    <row r="239" spans="1:23" s="32" customFormat="1" ht="11.25" customHeight="1">
      <c r="A239" s="508"/>
      <c r="B239" s="134" t="s">
        <v>3733</v>
      </c>
      <c r="D239" s="3801" t="s">
        <v>4874</v>
      </c>
      <c r="E239" s="3799"/>
      <c r="F239" s="3799"/>
      <c r="G239" s="3145"/>
      <c r="H239" s="3802"/>
      <c r="I239" s="1766" t="s">
        <v>2666</v>
      </c>
      <c r="J239" s="3801" t="s">
        <v>4991</v>
      </c>
      <c r="K239" s="3799"/>
      <c r="L239" s="3799"/>
      <c r="M239" s="3799"/>
      <c r="N239" s="3802"/>
      <c r="O239" s="572"/>
      <c r="P239" s="572"/>
      <c r="Q239" s="1026"/>
      <c r="R239" s="3803" t="s">
        <v>4690</v>
      </c>
      <c r="S239" s="3804"/>
    </row>
    <row r="240" spans="1:23" s="32" customFormat="1" ht="11.25" customHeight="1">
      <c r="A240" s="508"/>
      <c r="B240" s="134" t="s">
        <v>2167</v>
      </c>
      <c r="D240" s="3682" t="s">
        <v>4990</v>
      </c>
      <c r="E240" s="3683"/>
      <c r="F240" s="3684"/>
      <c r="G240" s="134" t="s">
        <v>1700</v>
      </c>
      <c r="H240" s="2507">
        <v>4046274304</v>
      </c>
      <c r="I240" s="433" t="s">
        <v>1777</v>
      </c>
      <c r="J240" s="3682" t="s">
        <v>4992</v>
      </c>
      <c r="K240" s="3683"/>
      <c r="L240" s="3683"/>
      <c r="M240" s="3683"/>
      <c r="N240" s="3684"/>
      <c r="Q240" s="1026"/>
      <c r="R240" s="3805"/>
      <c r="S240" s="3806"/>
      <c r="V240" s="1069"/>
      <c r="W240" s="1069"/>
    </row>
    <row r="241" spans="1:23" ht="3" customHeight="1">
      <c r="A241" s="508"/>
      <c r="C241" s="1028"/>
      <c r="D241" s="1028"/>
      <c r="E241" s="1028"/>
      <c r="F241" s="1028"/>
      <c r="G241" s="1028"/>
      <c r="H241" s="1028"/>
      <c r="I241" s="1028"/>
      <c r="J241" s="1028"/>
      <c r="K241" s="1028"/>
      <c r="L241" s="1028"/>
      <c r="N241" s="26"/>
      <c r="O241" s="26"/>
      <c r="P241" s="26"/>
      <c r="Q241" s="1026"/>
      <c r="R241" s="3805"/>
      <c r="S241" s="3806"/>
    </row>
    <row r="242" spans="1:23" ht="10.5" customHeight="1">
      <c r="A242" s="508"/>
      <c r="B242" s="586" t="s">
        <v>1960</v>
      </c>
      <c r="C242" s="1028" t="s">
        <v>3857</v>
      </c>
      <c r="D242" s="1023"/>
      <c r="E242" s="1023"/>
      <c r="F242" s="1023"/>
      <c r="G242" s="1023"/>
      <c r="H242" s="1023"/>
      <c r="I242" s="1023"/>
      <c r="J242" s="1023"/>
      <c r="K242" s="1023"/>
      <c r="L242" s="1023"/>
      <c r="M242" s="1023"/>
      <c r="N242" s="1023"/>
      <c r="O242" s="516" t="s">
        <v>2477</v>
      </c>
      <c r="P242" s="516" t="s">
        <v>2477</v>
      </c>
      <c r="Q242" s="1023"/>
      <c r="R242" s="3805"/>
      <c r="S242" s="3806"/>
    </row>
    <row r="243" spans="1:23" s="32" customFormat="1" ht="21.75" customHeight="1">
      <c r="A243" s="1762"/>
      <c r="B243" s="614"/>
      <c r="C243" s="3517" t="s">
        <v>3867</v>
      </c>
      <c r="D243" s="3517"/>
      <c r="E243" s="3517"/>
      <c r="F243" s="3517"/>
      <c r="G243" s="3517"/>
      <c r="H243" s="3517"/>
      <c r="I243" s="3517"/>
      <c r="J243" s="3517"/>
      <c r="K243" s="3517"/>
      <c r="L243" s="3517"/>
      <c r="M243" s="3517"/>
      <c r="N243" s="390" t="s">
        <v>1960</v>
      </c>
      <c r="O243" s="2464" t="s">
        <v>2933</v>
      </c>
      <c r="P243" s="1149"/>
      <c r="Q243" s="1023"/>
      <c r="R243" s="3805"/>
      <c r="S243" s="3806"/>
      <c r="V243" s="1069"/>
      <c r="W243" s="1069"/>
    </row>
    <row r="244" spans="1:23" s="32" customFormat="1" ht="11.25" customHeight="1">
      <c r="A244" s="508"/>
      <c r="B244" s="463" t="s">
        <v>2403</v>
      </c>
      <c r="C244" s="134" t="s">
        <v>3859</v>
      </c>
      <c r="D244" s="3675" t="s">
        <v>4993</v>
      </c>
      <c r="E244" s="3676"/>
      <c r="F244" s="3676"/>
      <c r="G244" s="3799"/>
      <c r="H244" s="3677"/>
      <c r="I244" s="1766" t="s">
        <v>2666</v>
      </c>
      <c r="J244" s="3675" t="s">
        <v>4997</v>
      </c>
      <c r="K244" s="3676"/>
      <c r="L244" s="3676"/>
      <c r="M244" s="3676"/>
      <c r="N244" s="3677"/>
      <c r="O244" s="3775" t="s">
        <v>3861</v>
      </c>
      <c r="P244" s="3776"/>
      <c r="Q244" s="1023"/>
      <c r="R244" s="3805"/>
      <c r="S244" s="3806"/>
      <c r="V244" s="1069"/>
      <c r="W244" s="1069"/>
    </row>
    <row r="245" spans="1:23" s="32" customFormat="1" ht="11.25" customHeight="1">
      <c r="A245" s="508"/>
      <c r="C245" s="1077" t="s">
        <v>2167</v>
      </c>
      <c r="D245" s="3682" t="s">
        <v>4994</v>
      </c>
      <c r="E245" s="3683"/>
      <c r="F245" s="3684"/>
      <c r="G245" s="1147" t="s">
        <v>1700</v>
      </c>
      <c r="H245" s="2507">
        <v>4042901260</v>
      </c>
      <c r="I245" s="1076" t="s">
        <v>1777</v>
      </c>
      <c r="J245" s="3682" t="s">
        <v>4998</v>
      </c>
      <c r="K245" s="3683"/>
      <c r="L245" s="3683"/>
      <c r="M245" s="3683"/>
      <c r="N245" s="3684"/>
      <c r="O245" s="2446" t="s">
        <v>2933</v>
      </c>
      <c r="P245" s="536"/>
      <c r="Q245" s="1023"/>
      <c r="R245" s="3805"/>
      <c r="S245" s="3806"/>
      <c r="V245" s="1069"/>
      <c r="W245" s="1069"/>
    </row>
    <row r="246" spans="1:23" s="32" customFormat="1" ht="11.25" customHeight="1">
      <c r="A246" s="508"/>
      <c r="B246" s="463" t="s">
        <v>2404</v>
      </c>
      <c r="C246" s="134" t="s">
        <v>3860</v>
      </c>
      <c r="D246" s="3675" t="s">
        <v>4995</v>
      </c>
      <c r="E246" s="3676"/>
      <c r="F246" s="3676"/>
      <c r="G246" s="3799"/>
      <c r="H246" s="3677"/>
      <c r="I246" s="1766" t="s">
        <v>2666</v>
      </c>
      <c r="J246" s="3675" t="s">
        <v>4999</v>
      </c>
      <c r="K246" s="3676"/>
      <c r="L246" s="3676"/>
      <c r="M246" s="3676"/>
      <c r="N246" s="3677"/>
      <c r="O246" s="3775" t="s">
        <v>3861</v>
      </c>
      <c r="P246" s="3776"/>
      <c r="Q246" s="1023"/>
      <c r="R246" s="3805"/>
      <c r="S246" s="3806"/>
      <c r="V246" s="1069"/>
      <c r="W246" s="1069"/>
    </row>
    <row r="247" spans="1:23" s="32" customFormat="1" ht="11.25" customHeight="1">
      <c r="A247" s="508"/>
      <c r="C247" s="1077" t="s">
        <v>2167</v>
      </c>
      <c r="D247" s="3682" t="s">
        <v>4996</v>
      </c>
      <c r="E247" s="3683"/>
      <c r="F247" s="3684"/>
      <c r="G247" s="1147" t="s">
        <v>1700</v>
      </c>
      <c r="H247" s="2507">
        <v>4049552909</v>
      </c>
      <c r="I247" s="1076" t="s">
        <v>1777</v>
      </c>
      <c r="J247" s="3682" t="s">
        <v>5000</v>
      </c>
      <c r="K247" s="3683"/>
      <c r="L247" s="3683"/>
      <c r="M247" s="3683"/>
      <c r="N247" s="3684"/>
      <c r="O247" s="2446" t="s">
        <v>2933</v>
      </c>
      <c r="P247" s="536"/>
      <c r="Q247" s="1023"/>
      <c r="R247" s="3805"/>
      <c r="S247" s="3806"/>
      <c r="V247" s="1069"/>
      <c r="W247" s="1069"/>
    </row>
    <row r="248" spans="1:23" ht="11.25" customHeight="1">
      <c r="A248" s="508"/>
      <c r="B248" s="586" t="s">
        <v>1962</v>
      </c>
      <c r="C248" s="1028" t="s">
        <v>3862</v>
      </c>
      <c r="D248" s="1023"/>
      <c r="E248" s="1023"/>
      <c r="F248" s="1023"/>
      <c r="G248" s="474" t="s">
        <v>3671</v>
      </c>
      <c r="H248" s="1023"/>
      <c r="I248" s="1023"/>
      <c r="J248" s="1023"/>
      <c r="K248" s="1023"/>
      <c r="L248" s="1023"/>
      <c r="M248" s="1023"/>
      <c r="N248" s="1023"/>
      <c r="O248" s="516" t="s">
        <v>2477</v>
      </c>
      <c r="P248" s="516" t="s">
        <v>2477</v>
      </c>
      <c r="Q248" s="1023"/>
      <c r="R248" s="3805"/>
      <c r="S248" s="3806"/>
    </row>
    <row r="249" spans="1:23" ht="33.75" customHeight="1">
      <c r="A249" s="508"/>
      <c r="B249" s="1030"/>
      <c r="C249" s="3518" t="s">
        <v>3943</v>
      </c>
      <c r="D249" s="3518"/>
      <c r="E249" s="3518"/>
      <c r="F249" s="3518"/>
      <c r="G249" s="3518"/>
      <c r="H249" s="3518"/>
      <c r="I249" s="3518"/>
      <c r="J249" s="3518"/>
      <c r="K249" s="3518"/>
      <c r="L249" s="3518"/>
      <c r="M249" s="3518"/>
      <c r="N249" s="390" t="s">
        <v>1962</v>
      </c>
      <c r="O249" s="2464" t="s">
        <v>2933</v>
      </c>
      <c r="P249" s="1149"/>
      <c r="Q249" s="1027"/>
      <c r="R249" s="3805"/>
      <c r="S249" s="3806"/>
      <c r="V249" s="1069"/>
      <c r="W249" s="1069"/>
    </row>
    <row r="250" spans="1:23" ht="11.25" customHeight="1">
      <c r="A250" s="508"/>
      <c r="B250" s="463" t="s">
        <v>2403</v>
      </c>
      <c r="C250" s="1032" t="s">
        <v>3944</v>
      </c>
      <c r="D250" s="1768"/>
      <c r="E250" s="1768"/>
      <c r="F250" s="1768"/>
      <c r="G250" s="1768"/>
      <c r="H250" s="1768"/>
      <c r="I250" s="1768"/>
      <c r="J250" s="1768"/>
      <c r="K250" s="1768"/>
      <c r="L250" s="1768"/>
      <c r="M250" s="1768"/>
      <c r="N250" s="1768"/>
      <c r="O250" s="1768"/>
      <c r="P250" s="1768"/>
      <c r="Q250" s="1027"/>
      <c r="R250" s="3805"/>
      <c r="S250" s="3806"/>
      <c r="V250" s="1069"/>
      <c r="W250" s="1069"/>
    </row>
    <row r="251" spans="1:23" ht="11.25" customHeight="1">
      <c r="A251" s="508"/>
      <c r="B251" s="32"/>
      <c r="C251" s="3613" t="s">
        <v>5001</v>
      </c>
      <c r="D251" s="3614"/>
      <c r="E251" s="3614"/>
      <c r="F251" s="3614"/>
      <c r="G251" s="3614"/>
      <c r="H251" s="3614"/>
      <c r="I251" s="3614"/>
      <c r="J251" s="3614"/>
      <c r="K251" s="3614"/>
      <c r="L251" s="3614"/>
      <c r="M251" s="3614"/>
      <c r="N251" s="3614"/>
      <c r="O251" s="3614"/>
      <c r="P251" s="3615"/>
      <c r="Q251" s="1073"/>
      <c r="R251" s="3805"/>
      <c r="S251" s="3806"/>
      <c r="V251" s="1069"/>
      <c r="W251" s="1069"/>
    </row>
    <row r="252" spans="1:23" ht="11.25" customHeight="1">
      <c r="A252" s="508"/>
      <c r="B252" s="1030"/>
      <c r="C252" s="3616" t="s">
        <v>5002</v>
      </c>
      <c r="D252" s="3617"/>
      <c r="E252" s="3617"/>
      <c r="F252" s="3617"/>
      <c r="G252" s="3617"/>
      <c r="H252" s="3617"/>
      <c r="I252" s="3617"/>
      <c r="J252" s="3617"/>
      <c r="K252" s="3617"/>
      <c r="L252" s="3617"/>
      <c r="M252" s="3617"/>
      <c r="N252" s="3617"/>
      <c r="O252" s="3617"/>
      <c r="P252" s="3618"/>
      <c r="Q252" s="1027"/>
      <c r="R252" s="3805"/>
      <c r="S252" s="3806"/>
      <c r="V252" s="1069"/>
      <c r="W252" s="1069"/>
    </row>
    <row r="253" spans="1:23" ht="11.25" customHeight="1">
      <c r="A253" s="508"/>
      <c r="B253" s="1030"/>
      <c r="C253" s="3619" t="s">
        <v>5003</v>
      </c>
      <c r="D253" s="3620"/>
      <c r="E253" s="3620"/>
      <c r="F253" s="3620"/>
      <c r="G253" s="3620"/>
      <c r="H253" s="3620"/>
      <c r="I253" s="3620"/>
      <c r="J253" s="3620"/>
      <c r="K253" s="3620"/>
      <c r="L253" s="3620"/>
      <c r="M253" s="3620"/>
      <c r="N253" s="3620"/>
      <c r="O253" s="3620"/>
      <c r="P253" s="3621"/>
      <c r="Q253" s="1027"/>
      <c r="R253" s="3805"/>
      <c r="S253" s="3806"/>
      <c r="V253" s="1069"/>
      <c r="W253" s="1069"/>
    </row>
    <row r="254" spans="1:23" ht="11.25" customHeight="1">
      <c r="A254" s="508"/>
      <c r="B254" s="463" t="s">
        <v>2404</v>
      </c>
      <c r="C254" s="1032" t="s">
        <v>3942</v>
      </c>
      <c r="D254" s="1768"/>
      <c r="E254" s="1768"/>
      <c r="F254" s="1768"/>
      <c r="G254" s="1768"/>
      <c r="H254" s="1768"/>
      <c r="I254" s="1768"/>
      <c r="J254" s="1768"/>
      <c r="K254" s="1768"/>
      <c r="L254" s="3631" t="s">
        <v>3945</v>
      </c>
      <c r="M254" s="3631"/>
      <c r="N254" s="3632" t="s">
        <v>3946</v>
      </c>
      <c r="O254" s="3632"/>
      <c r="P254" s="3632"/>
      <c r="Q254" s="1027"/>
      <c r="R254" s="3805"/>
      <c r="S254" s="3806"/>
      <c r="V254" s="1069"/>
      <c r="W254" s="1069"/>
    </row>
    <row r="255" spans="1:23" ht="11.25" customHeight="1">
      <c r="A255" s="508"/>
      <c r="B255" s="1030"/>
      <c r="C255" s="3622" t="s">
        <v>4280</v>
      </c>
      <c r="D255" s="3623"/>
      <c r="E255" s="3623"/>
      <c r="F255" s="3623"/>
      <c r="G255" s="3623"/>
      <c r="H255" s="3623"/>
      <c r="I255" s="3623"/>
      <c r="J255" s="3623"/>
      <c r="K255" s="3624"/>
      <c r="L255" s="3622"/>
      <c r="M255" s="3624"/>
      <c r="N255" s="3622"/>
      <c r="O255" s="3623"/>
      <c r="P255" s="3624"/>
      <c r="Q255" s="1073"/>
      <c r="R255" s="3805"/>
      <c r="S255" s="3806"/>
      <c r="V255" s="1069"/>
      <c r="W255" s="1069"/>
    </row>
    <row r="256" spans="1:23" ht="11.25" customHeight="1">
      <c r="A256" s="508"/>
      <c r="B256" s="1030"/>
      <c r="C256" s="3625" t="s">
        <v>223</v>
      </c>
      <c r="D256" s="3626"/>
      <c r="E256" s="3626"/>
      <c r="F256" s="3626"/>
      <c r="G256" s="3626"/>
      <c r="H256" s="3626"/>
      <c r="I256" s="3626"/>
      <c r="J256" s="3626"/>
      <c r="K256" s="3627"/>
      <c r="L256" s="3625"/>
      <c r="M256" s="3627"/>
      <c r="N256" s="3625"/>
      <c r="O256" s="3626"/>
      <c r="P256" s="3627"/>
      <c r="Q256" s="1027"/>
      <c r="R256" s="3805"/>
      <c r="S256" s="3806"/>
      <c r="V256" s="1069"/>
      <c r="W256" s="1069"/>
    </row>
    <row r="257" spans="1:23" ht="11.25" customHeight="1">
      <c r="A257" s="508"/>
      <c r="B257" s="1030"/>
      <c r="C257" s="3628" t="s">
        <v>1389</v>
      </c>
      <c r="D257" s="3629"/>
      <c r="E257" s="3629"/>
      <c r="F257" s="3629"/>
      <c r="G257" s="3629"/>
      <c r="H257" s="3629"/>
      <c r="I257" s="3629"/>
      <c r="J257" s="3629"/>
      <c r="K257" s="3630"/>
      <c r="L257" s="3628"/>
      <c r="M257" s="3630"/>
      <c r="N257" s="3628"/>
      <c r="O257" s="3629"/>
      <c r="P257" s="3630"/>
      <c r="Q257" s="1027"/>
      <c r="R257" s="3805"/>
      <c r="S257" s="3806"/>
      <c r="V257" s="1069"/>
      <c r="W257" s="1069"/>
    </row>
    <row r="258" spans="1:23" ht="11.25" customHeight="1">
      <c r="A258" s="508"/>
      <c r="B258" s="586" t="s">
        <v>2501</v>
      </c>
      <c r="C258" s="1028" t="s">
        <v>3863</v>
      </c>
      <c r="D258" s="1023"/>
      <c r="E258" s="1023"/>
      <c r="F258" s="1023"/>
      <c r="G258" s="1023"/>
      <c r="H258" s="1023"/>
      <c r="I258" s="1023"/>
      <c r="J258" s="1023"/>
      <c r="K258" s="1023"/>
      <c r="L258" s="1023"/>
      <c r="M258" s="1023"/>
      <c r="N258" s="1023"/>
      <c r="O258" s="516"/>
      <c r="P258" s="516"/>
      <c r="Q258" s="1023"/>
      <c r="R258" s="3807"/>
      <c r="S258" s="3808"/>
    </row>
    <row r="259" spans="1:23" s="32" customFormat="1" ht="11.25" customHeight="1">
      <c r="A259" s="508"/>
      <c r="B259" s="1031"/>
      <c r="C259" s="3517" t="s">
        <v>3866</v>
      </c>
      <c r="D259" s="3517"/>
      <c r="E259" s="3517"/>
      <c r="F259" s="3517"/>
      <c r="G259" s="3517"/>
      <c r="H259" s="3517"/>
      <c r="I259" s="3517"/>
      <c r="J259" s="3517"/>
      <c r="K259" s="3517"/>
      <c r="L259" s="3517"/>
      <c r="M259" s="3517"/>
      <c r="N259" s="390" t="s">
        <v>2501</v>
      </c>
      <c r="O259" s="2447" t="s">
        <v>2933</v>
      </c>
      <c r="P259" s="533"/>
      <c r="Q259" s="1027"/>
      <c r="V259" s="1069"/>
      <c r="W259" s="1069"/>
    </row>
    <row r="260" spans="1:23" ht="11.25" customHeight="1">
      <c r="A260" s="138"/>
      <c r="B260" s="888" t="s">
        <v>1209</v>
      </c>
      <c r="C260" s="583" t="s">
        <v>3674</v>
      </c>
      <c r="D260" s="32"/>
      <c r="N260" s="26"/>
      <c r="O260" s="26"/>
      <c r="P260" s="26"/>
      <c r="Q260" s="114"/>
    </row>
    <row r="261" spans="1:23" s="32" customFormat="1" ht="21.75" customHeight="1">
      <c r="A261" s="508"/>
      <c r="B261" s="1031"/>
      <c r="C261" s="3516" t="s">
        <v>3868</v>
      </c>
      <c r="D261" s="3516"/>
      <c r="E261" s="3516"/>
      <c r="F261" s="3516"/>
      <c r="G261" s="3516"/>
      <c r="H261" s="3516"/>
      <c r="I261" s="3516"/>
      <c r="J261" s="3516"/>
      <c r="K261" s="3516"/>
      <c r="L261" s="3516"/>
      <c r="M261" s="3516"/>
      <c r="N261" s="390" t="s">
        <v>1209</v>
      </c>
      <c r="O261" s="2464" t="s">
        <v>2933</v>
      </c>
      <c r="P261" s="1149"/>
      <c r="Q261" s="1027"/>
      <c r="V261" s="1069"/>
      <c r="W261" s="1069"/>
    </row>
    <row r="262" spans="1:23" s="32" customFormat="1" ht="10.5" customHeight="1">
      <c r="A262" s="508"/>
      <c r="B262" s="1031"/>
      <c r="C262" s="1767"/>
      <c r="D262" s="1767"/>
      <c r="E262" s="1767"/>
      <c r="F262" s="1767"/>
      <c r="G262" s="614" t="s">
        <v>4615</v>
      </c>
      <c r="H262" s="1767"/>
      <c r="J262" s="3636">
        <v>15000</v>
      </c>
      <c r="K262" s="3637"/>
      <c r="L262" s="1767"/>
      <c r="M262" s="1767"/>
      <c r="N262" s="1767"/>
      <c r="O262" s="1767"/>
      <c r="P262" s="1767"/>
      <c r="Q262" s="1027"/>
      <c r="V262" s="1069"/>
      <c r="W262" s="1069"/>
    </row>
    <row r="263" spans="1:23" s="32" customFormat="1" ht="11.25" customHeight="1">
      <c r="A263" s="508"/>
      <c r="B263" s="387" t="s">
        <v>2403</v>
      </c>
      <c r="C263" s="3517" t="s">
        <v>3869</v>
      </c>
      <c r="D263" s="3517"/>
      <c r="E263" s="3517"/>
      <c r="F263" s="3517"/>
      <c r="G263" s="3517"/>
      <c r="H263" s="3517"/>
      <c r="I263" s="3517"/>
      <c r="J263" s="3517"/>
      <c r="K263" s="3517"/>
      <c r="L263" s="3517"/>
      <c r="M263" s="3517"/>
      <c r="N263" s="387" t="s">
        <v>2403</v>
      </c>
      <c r="O263" s="2444" t="s">
        <v>2933</v>
      </c>
      <c r="P263" s="534"/>
      <c r="Q263" s="1027"/>
      <c r="V263" s="1069"/>
      <c r="W263" s="1069"/>
    </row>
    <row r="264" spans="1:23" s="32" customFormat="1" ht="11.25" customHeight="1">
      <c r="A264" s="508"/>
      <c r="B264" s="387" t="s">
        <v>2404</v>
      </c>
      <c r="C264" s="3517" t="s">
        <v>4515</v>
      </c>
      <c r="D264" s="3517"/>
      <c r="E264" s="3517"/>
      <c r="F264" s="3517"/>
      <c r="G264" s="3517"/>
      <c r="H264" s="3517"/>
      <c r="I264" s="3517"/>
      <c r="J264" s="3517"/>
      <c r="K264" s="3517"/>
      <c r="L264" s="3517"/>
      <c r="M264" s="3517"/>
      <c r="N264" s="387" t="s">
        <v>2404</v>
      </c>
      <c r="O264" s="2446" t="s">
        <v>2933</v>
      </c>
      <c r="P264" s="536"/>
      <c r="Q264" s="1027"/>
      <c r="V264" s="1069"/>
      <c r="W264" s="1069"/>
    </row>
    <row r="265" spans="1:23" ht="11.25" customHeight="1">
      <c r="A265" s="138"/>
      <c r="B265" s="888" t="s">
        <v>1210</v>
      </c>
      <c r="C265" s="583" t="s">
        <v>4516</v>
      </c>
      <c r="D265" s="32"/>
      <c r="N265" s="390" t="s">
        <v>1210</v>
      </c>
      <c r="O265" s="26"/>
      <c r="P265" s="26"/>
      <c r="Q265" s="114"/>
    </row>
    <row r="266" spans="1:23" s="32" customFormat="1" ht="11.25" customHeight="1">
      <c r="A266" s="508"/>
      <c r="B266" s="387" t="s">
        <v>2403</v>
      </c>
      <c r="C266" s="3517" t="s">
        <v>4517</v>
      </c>
      <c r="D266" s="3517"/>
      <c r="E266" s="3517"/>
      <c r="F266" s="3517"/>
      <c r="G266" s="3517"/>
      <c r="H266" s="3517"/>
      <c r="I266" s="3517"/>
      <c r="J266" s="3517"/>
      <c r="K266" s="3517"/>
      <c r="L266" s="3517"/>
      <c r="M266" s="3517"/>
      <c r="N266" s="387" t="s">
        <v>2403</v>
      </c>
      <c r="O266" s="2444" t="s">
        <v>2936</v>
      </c>
      <c r="P266" s="534"/>
      <c r="Q266" s="1027"/>
      <c r="V266" s="1069"/>
      <c r="W266" s="1069"/>
    </row>
    <row r="267" spans="1:23" s="32" customFormat="1" ht="11.25" customHeight="1">
      <c r="A267" s="508"/>
      <c r="B267" s="387" t="s">
        <v>2404</v>
      </c>
      <c r="C267" s="3517" t="s">
        <v>4518</v>
      </c>
      <c r="D267" s="3517"/>
      <c r="E267" s="3517"/>
      <c r="F267" s="3517"/>
      <c r="G267" s="3517"/>
      <c r="H267" s="3517"/>
      <c r="I267" s="3517"/>
      <c r="J267" s="3517"/>
      <c r="K267" s="3517"/>
      <c r="L267" s="3517"/>
      <c r="M267" s="3517"/>
      <c r="N267" s="387" t="s">
        <v>2404</v>
      </c>
      <c r="O267" s="2446" t="s">
        <v>4962</v>
      </c>
      <c r="P267" s="536"/>
      <c r="Q267" s="1027"/>
      <c r="V267" s="1069"/>
      <c r="W267" s="1069"/>
    </row>
    <row r="268" spans="1:23" ht="11.4" customHeight="1">
      <c r="A268" s="138" t="s">
        <v>1959</v>
      </c>
      <c r="B268" s="177" t="s">
        <v>3864</v>
      </c>
      <c r="D268" s="32"/>
      <c r="G268" s="474" t="s">
        <v>3671</v>
      </c>
      <c r="N268" s="26"/>
      <c r="O268" s="516" t="s">
        <v>2477</v>
      </c>
      <c r="P268" s="516" t="s">
        <v>2477</v>
      </c>
      <c r="Q268" s="1026"/>
    </row>
    <row r="269" spans="1:23" ht="22.5" customHeight="1">
      <c r="B269" s="586" t="s">
        <v>1960</v>
      </c>
      <c r="C269" s="3531" t="s">
        <v>3865</v>
      </c>
      <c r="D269" s="3531"/>
      <c r="E269" s="3531"/>
      <c r="F269" s="3531"/>
      <c r="G269" s="3531"/>
      <c r="H269" s="3531"/>
      <c r="I269" s="3531"/>
      <c r="J269" s="3531"/>
      <c r="K269" s="3531"/>
      <c r="L269" s="3531"/>
      <c r="M269" s="1123" t="s">
        <v>1959</v>
      </c>
      <c r="N269" s="390" t="s">
        <v>1960</v>
      </c>
      <c r="O269" s="2456" t="s">
        <v>2933</v>
      </c>
      <c r="P269" s="1148"/>
      <c r="Q269" s="1026"/>
      <c r="V269" s="1069"/>
      <c r="W269" s="1069"/>
    </row>
    <row r="270" spans="1:23" s="32" customFormat="1" ht="11.25" customHeight="1">
      <c r="A270" s="508"/>
      <c r="B270" s="586" t="s">
        <v>1962</v>
      </c>
      <c r="C270" s="433" t="s">
        <v>4519</v>
      </c>
      <c r="D270" s="972"/>
      <c r="E270" s="972"/>
      <c r="F270" s="972"/>
      <c r="G270" s="972"/>
      <c r="H270" s="972"/>
      <c r="I270" s="972"/>
      <c r="J270" s="972"/>
      <c r="K270" s="972"/>
      <c r="L270" s="972"/>
      <c r="M270" s="972"/>
      <c r="N270" s="390" t="s">
        <v>1962</v>
      </c>
      <c r="O270" s="2445" t="s">
        <v>2933</v>
      </c>
      <c r="P270" s="535"/>
      <c r="Q270" s="1027"/>
      <c r="V270" s="1215"/>
      <c r="W270" s="1215"/>
    </row>
    <row r="271" spans="1:23" s="32" customFormat="1" ht="11.25" customHeight="1">
      <c r="A271" s="508"/>
      <c r="B271" s="586" t="s">
        <v>2501</v>
      </c>
      <c r="C271" s="433" t="s">
        <v>4520</v>
      </c>
      <c r="D271" s="972"/>
      <c r="E271" s="972"/>
      <c r="F271" s="972"/>
      <c r="G271" s="972"/>
      <c r="H271" s="972"/>
      <c r="I271" s="972"/>
      <c r="J271" s="972"/>
      <c r="K271" s="972"/>
      <c r="L271" s="972"/>
      <c r="M271" s="972"/>
      <c r="N271" s="390" t="s">
        <v>2501</v>
      </c>
      <c r="O271" s="2446" t="s">
        <v>4962</v>
      </c>
      <c r="P271" s="536"/>
      <c r="Q271" s="1027"/>
      <c r="V271" s="1215"/>
      <c r="W271" s="1215"/>
    </row>
    <row r="272" spans="1:23" s="42" customFormat="1" ht="12" customHeight="1" thickBot="1">
      <c r="A272" s="41"/>
      <c r="B272" s="1205" t="s">
        <v>3645</v>
      </c>
      <c r="C272" s="41"/>
      <c r="D272" s="47"/>
      <c r="E272" s="47"/>
      <c r="F272" s="47"/>
      <c r="G272" s="47"/>
      <c r="H272" s="35"/>
      <c r="I272" s="134"/>
      <c r="M272" s="45"/>
      <c r="N272" s="61"/>
      <c r="O272" s="2"/>
      <c r="P272" s="1750"/>
    </row>
    <row r="273" spans="1:18" s="42" customFormat="1" ht="160.5" customHeight="1" thickTop="1" thickBot="1">
      <c r="A273" s="3532" t="s">
        <v>5004</v>
      </c>
      <c r="B273" s="3533"/>
      <c r="C273" s="3533"/>
      <c r="D273" s="3533"/>
      <c r="E273" s="3533"/>
      <c r="F273" s="3533"/>
      <c r="G273" s="3533"/>
      <c r="H273" s="3533"/>
      <c r="I273" s="3533"/>
      <c r="J273" s="3533"/>
      <c r="K273" s="3533"/>
      <c r="L273" s="3533"/>
      <c r="M273" s="3533"/>
      <c r="N273" s="3533"/>
      <c r="O273" s="3533"/>
      <c r="P273" s="3534"/>
      <c r="Q273" s="1073" t="s">
        <v>1239</v>
      </c>
    </row>
    <row r="274" spans="1:18" s="42" customFormat="1" ht="10.5" customHeight="1" thickTop="1">
      <c r="A274" s="41"/>
      <c r="B274" s="85" t="s">
        <v>1841</v>
      </c>
      <c r="C274" s="41"/>
      <c r="D274" s="85"/>
      <c r="E274" s="1751"/>
      <c r="F274" s="1751"/>
      <c r="G274" s="1751"/>
      <c r="H274" s="1751"/>
      <c r="I274" s="1751"/>
      <c r="J274" s="1751"/>
      <c r="K274" s="1751"/>
      <c r="L274" s="1751"/>
      <c r="M274" s="1751"/>
      <c r="N274" s="74"/>
      <c r="O274" s="70"/>
      <c r="P274" s="1747"/>
      <c r="Q274" s="426"/>
    </row>
    <row r="275" spans="1:18" s="42" customFormat="1" ht="11.25" customHeight="1">
      <c r="A275" s="3641"/>
      <c r="B275" s="3642"/>
      <c r="C275" s="3642"/>
      <c r="D275" s="3642"/>
      <c r="E275" s="3642"/>
      <c r="F275" s="3642"/>
      <c r="G275" s="3642"/>
      <c r="H275" s="3642"/>
      <c r="I275" s="3642"/>
      <c r="J275" s="3642"/>
      <c r="K275" s="3642"/>
      <c r="L275" s="3642"/>
      <c r="M275" s="3642"/>
      <c r="N275" s="3642"/>
      <c r="O275" s="3642"/>
      <c r="P275" s="3643"/>
      <c r="Q275" s="445"/>
    </row>
    <row r="276" spans="1:18" ht="3.6" customHeight="1" thickBot="1">
      <c r="B276" s="116"/>
      <c r="C276" s="116"/>
      <c r="D276" s="116"/>
      <c r="E276" s="116"/>
    </row>
    <row r="277" spans="1:18" s="102" customFormat="1" ht="12.6" customHeight="1" thickBot="1">
      <c r="A277" s="152" t="s">
        <v>422</v>
      </c>
      <c r="B277" s="106" t="s">
        <v>2740</v>
      </c>
      <c r="C277" s="92"/>
      <c r="D277" s="58"/>
      <c r="E277" s="58"/>
      <c r="G277" s="172" t="s">
        <v>3975</v>
      </c>
      <c r="M277" s="1747">
        <v>6</v>
      </c>
      <c r="N277" s="6"/>
      <c r="O277" s="1140">
        <f>O279+O288+O293</f>
        <v>0</v>
      </c>
      <c r="P277" s="1140">
        <f>P279+P288+P293</f>
        <v>0</v>
      </c>
      <c r="Q277" s="109" t="s">
        <v>437</v>
      </c>
      <c r="R277" s="42"/>
    </row>
    <row r="278" spans="1:18" s="102" customFormat="1" ht="1.5" customHeight="1">
      <c r="A278" s="152"/>
      <c r="B278" s="106"/>
      <c r="C278" s="92"/>
      <c r="D278" s="58"/>
      <c r="E278" s="58"/>
      <c r="G278" s="172"/>
      <c r="M278" s="584"/>
      <c r="Q278" s="109"/>
      <c r="R278" s="42"/>
    </row>
    <row r="279" spans="1:18" s="102" customFormat="1" ht="11.25" customHeight="1">
      <c r="A279" s="3644" t="s">
        <v>3518</v>
      </c>
      <c r="B279" s="869" t="s">
        <v>4524</v>
      </c>
      <c r="C279" s="92"/>
      <c r="D279" s="58"/>
      <c r="E279" s="58"/>
      <c r="G279" s="474" t="s">
        <v>4531</v>
      </c>
      <c r="I279" s="26"/>
      <c r="J279" s="3638" t="str">
        <f>'Part I-Project Information'!$O$38</f>
        <v>0067.00</v>
      </c>
      <c r="K279" s="3638"/>
      <c r="M279" s="1126">
        <v>3</v>
      </c>
      <c r="N279" s="1556"/>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4" customHeight="1">
      <c r="A280" s="3644"/>
      <c r="B280" s="110" t="s">
        <v>2748</v>
      </c>
      <c r="C280" s="512"/>
      <c r="D280" s="512"/>
      <c r="G280" s="513" t="str">
        <f>'Part I-Project Information'!$H$105</f>
        <v>Flexible</v>
      </c>
      <c r="M280" s="1024" t="s">
        <v>4525</v>
      </c>
      <c r="N280" s="1556"/>
      <c r="O280" s="1173" t="s">
        <v>2477</v>
      </c>
      <c r="P280" s="1173" t="s">
        <v>2477</v>
      </c>
    </row>
    <row r="281" spans="1:18" ht="11.4" customHeight="1">
      <c r="A281" s="3644"/>
      <c r="B281" s="888" t="s">
        <v>1960</v>
      </c>
      <c r="C281" s="438" t="s">
        <v>2648</v>
      </c>
      <c r="E281" s="116"/>
      <c r="M281" s="80"/>
      <c r="N281" s="174" t="s">
        <v>1960</v>
      </c>
      <c r="O281" s="2444"/>
      <c r="P281" s="534"/>
      <c r="Q281" s="3633" t="str">
        <f>IF(AND(O281="Yes",O284="Yes"),"Only 1 or 4 can be 'Yes'!","")</f>
        <v/>
      </c>
      <c r="R281" s="3633"/>
    </row>
    <row r="282" spans="1:18" ht="11.4" customHeight="1">
      <c r="B282" s="888" t="s">
        <v>1962</v>
      </c>
      <c r="C282" s="438" t="s">
        <v>2695</v>
      </c>
      <c r="G282" s="100" t="s">
        <v>2358</v>
      </c>
      <c r="H282" s="2508" t="s">
        <v>4565</v>
      </c>
      <c r="I282" s="438" t="s">
        <v>2696</v>
      </c>
      <c r="L282" s="134" t="s">
        <v>2694</v>
      </c>
      <c r="M282" s="889" t="str">
        <f>IF(O282&gt;H282,"CHECK ACTUAL PERCENT!!!","")</f>
        <v/>
      </c>
      <c r="N282" s="174" t="s">
        <v>1962</v>
      </c>
      <c r="O282" s="2509"/>
      <c r="P282" s="1557"/>
      <c r="Q282" s="3633"/>
      <c r="R282" s="3633"/>
    </row>
    <row r="283" spans="1:18" ht="11.4" customHeight="1">
      <c r="B283" s="888" t="s">
        <v>2501</v>
      </c>
      <c r="C283" s="415" t="s">
        <v>2359</v>
      </c>
      <c r="E283" s="116"/>
      <c r="G283" s="100" t="s">
        <v>2360</v>
      </c>
      <c r="J283" s="3504" t="s">
        <v>4729</v>
      </c>
      <c r="L283" s="433" t="s">
        <v>2689</v>
      </c>
      <c r="M283" s="32"/>
      <c r="N283" s="174" t="s">
        <v>2501</v>
      </c>
      <c r="O283" s="2510" t="s">
        <v>199</v>
      </c>
      <c r="P283" s="1558" t="s">
        <v>199</v>
      </c>
      <c r="Q283" s="3633"/>
      <c r="R283" s="3633"/>
    </row>
    <row r="284" spans="1:18" s="392" customFormat="1" ht="11.4" customHeight="1">
      <c r="B284" s="586" t="s">
        <v>1209</v>
      </c>
      <c r="C284" s="3518" t="s">
        <v>4540</v>
      </c>
      <c r="D284" s="3518"/>
      <c r="E284" s="3518"/>
      <c r="F284" s="3518"/>
      <c r="G284" s="3518"/>
      <c r="H284" s="3518"/>
      <c r="I284" s="3518"/>
      <c r="J284" s="3505"/>
      <c r="K284" s="3504" t="s">
        <v>3870</v>
      </c>
      <c r="M284" s="1127">
        <v>2</v>
      </c>
      <c r="N284" s="174" t="s">
        <v>1209</v>
      </c>
      <c r="O284" s="2457"/>
      <c r="P284" s="1763"/>
      <c r="Q284" s="3633"/>
      <c r="R284" s="3633"/>
    </row>
    <row r="285" spans="1:18" ht="11.4" customHeight="1">
      <c r="B285" s="374"/>
      <c r="C285" s="3518"/>
      <c r="D285" s="3518"/>
      <c r="E285" s="3518"/>
      <c r="F285" s="3518"/>
      <c r="G285" s="3518"/>
      <c r="H285" s="3518"/>
      <c r="I285" s="3518"/>
      <c r="J285" s="3506"/>
      <c r="K285" s="3506"/>
      <c r="L285" s="3535" t="s">
        <v>3914</v>
      </c>
      <c r="M285" s="3536"/>
      <c r="N285" s="116"/>
    </row>
    <row r="286" spans="1:18" ht="23.25" customHeight="1">
      <c r="B286" s="374"/>
      <c r="C286" s="3518"/>
      <c r="D286" s="3518"/>
      <c r="E286" s="3518"/>
      <c r="F286" s="3518"/>
      <c r="G286" s="3518"/>
      <c r="H286" s="3518"/>
      <c r="I286" s="3518"/>
      <c r="J286" s="2511"/>
      <c r="K286" s="2512"/>
      <c r="L286" s="1124">
        <f>O61</f>
        <v>10</v>
      </c>
      <c r="M286" s="1125">
        <f>P61</f>
        <v>0</v>
      </c>
      <c r="N286" s="26"/>
    </row>
    <row r="287" spans="1:18" ht="2.25" customHeight="1">
      <c r="A287" s="515"/>
      <c r="B287" s="888"/>
      <c r="C287" s="415"/>
      <c r="E287" s="116"/>
      <c r="M287" s="1126"/>
      <c r="N287" s="1119"/>
      <c r="O287" s="887"/>
      <c r="P287" s="887"/>
    </row>
    <row r="288" spans="1:18" ht="11.4" customHeight="1">
      <c r="A288" s="515" t="s">
        <v>738</v>
      </c>
      <c r="B288" s="888" t="s">
        <v>4526</v>
      </c>
      <c r="C288" s="415"/>
      <c r="E288" s="116"/>
      <c r="G288" s="431" t="s">
        <v>4527</v>
      </c>
      <c r="M288" s="1126">
        <v>2</v>
      </c>
      <c r="N288" s="1128" t="s">
        <v>738</v>
      </c>
      <c r="O288" s="890">
        <f>IF(OR(AND(O289&gt;=60,O290&gt;=60,O291&gt;=60),AND(O289&lt;60,O290&gt;=60,O291&gt;=60),AND(O289&gt;=60,O290&lt;60,O291&gt;=60),AND(O289&gt;=60,O290&gt;=60,O291&lt;60)),$M$288,IF(OR(O289&gt;=60,O290&gt;=60,O291&gt;=60),1,0))</f>
        <v>0</v>
      </c>
      <c r="P288" s="890">
        <f>IF(OR(AND(P289&gt;=60,P290&gt;=60,P291&gt;=60),AND(P289&lt;60,P290&gt;=60,P291&gt;=60),AND(P289&gt;=60,P290&lt;60,P291&gt;=60),AND(P289&gt;=60,P290&gt;=60,P291&lt;60)),$M$288,IF(OR(P289&gt;=60,P290&gt;=60,P291&gt;=60),1,0))</f>
        <v>0</v>
      </c>
    </row>
    <row r="289" spans="1:21" ht="11.4" customHeight="1">
      <c r="A289" s="515"/>
      <c r="B289" s="888" t="s">
        <v>1960</v>
      </c>
      <c r="C289" s="134" t="s">
        <v>4724</v>
      </c>
      <c r="D289" s="134"/>
      <c r="G289" s="134" t="s">
        <v>4528</v>
      </c>
      <c r="H289" s="972"/>
      <c r="I289" s="972"/>
      <c r="J289" s="32"/>
      <c r="K289" s="32"/>
      <c r="L289" s="32"/>
      <c r="M289" s="32"/>
      <c r="N289" s="174" t="s">
        <v>1960</v>
      </c>
      <c r="O289" s="2513"/>
      <c r="P289" s="1559"/>
    </row>
    <row r="290" spans="1:21" ht="11.4" customHeight="1">
      <c r="A290" s="515"/>
      <c r="B290" s="888" t="s">
        <v>1962</v>
      </c>
      <c r="C290" s="134" t="s">
        <v>4725</v>
      </c>
      <c r="D290" s="134"/>
      <c r="G290" s="134" t="s">
        <v>4529</v>
      </c>
      <c r="H290" s="972"/>
      <c r="I290" s="972"/>
      <c r="J290" s="32"/>
      <c r="K290" s="32"/>
      <c r="L290" s="32"/>
      <c r="M290" s="32"/>
      <c r="N290" s="174" t="s">
        <v>1962</v>
      </c>
      <c r="O290" s="2514"/>
      <c r="P290" s="1560"/>
      <c r="R290" s="158" t="s">
        <v>4735</v>
      </c>
    </row>
    <row r="291" spans="1:21" ht="11.4" customHeight="1">
      <c r="A291" s="515"/>
      <c r="B291" s="888" t="s">
        <v>2501</v>
      </c>
      <c r="C291" s="134" t="s">
        <v>4726</v>
      </c>
      <c r="D291" s="134"/>
      <c r="G291" s="134" t="s">
        <v>4530</v>
      </c>
      <c r="H291" s="972"/>
      <c r="I291" s="972"/>
      <c r="J291" s="32"/>
      <c r="K291" s="32"/>
      <c r="L291" s="32"/>
      <c r="M291" s="32"/>
      <c r="N291" s="174" t="s">
        <v>2501</v>
      </c>
      <c r="O291" s="2515"/>
      <c r="P291" s="1561"/>
    </row>
    <row r="292" spans="1:21" ht="2.25" customHeight="1">
      <c r="A292" s="515"/>
      <c r="B292" s="888"/>
      <c r="C292" s="415"/>
      <c r="E292" s="116"/>
      <c r="M292" s="1126"/>
      <c r="N292" s="1119"/>
      <c r="O292" s="887"/>
      <c r="P292" s="887"/>
    </row>
    <row r="293" spans="1:21" ht="11.4" customHeight="1">
      <c r="A293" s="515" t="s">
        <v>2088</v>
      </c>
      <c r="B293" s="888" t="s">
        <v>3519</v>
      </c>
      <c r="C293" s="415"/>
      <c r="E293" s="116"/>
      <c r="G293" s="1762" t="s">
        <v>3521</v>
      </c>
      <c r="H293" s="1562">
        <f>IF('Part VI-Revenues &amp; Expenses'!$O$67=0,0,'Part VI-Revenues &amp; Expenses'!$O$64/'Part VI-Revenues &amp; Expenses'!$O$67)</f>
        <v>0.15476190476190477</v>
      </c>
      <c r="J293" s="1549" t="s">
        <v>4532</v>
      </c>
      <c r="K293" s="3639" t="str">
        <f>'Part I-Project Information'!$K$94</f>
        <v>40% of Units at 60% of AMI</v>
      </c>
      <c r="L293" s="3640"/>
      <c r="M293" s="1126">
        <v>1</v>
      </c>
      <c r="N293" s="1119" t="s">
        <v>2088</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6"/>
      <c r="N294" s="1119"/>
      <c r="O294" s="887"/>
      <c r="P294" s="887"/>
    </row>
    <row r="295" spans="1:21" s="42" customFormat="1" ht="10.5" customHeight="1">
      <c r="A295" s="41"/>
      <c r="B295" s="85" t="s">
        <v>1841</v>
      </c>
      <c r="C295" s="41"/>
      <c r="D295" s="85"/>
      <c r="E295" s="1751"/>
      <c r="F295" s="1751"/>
      <c r="G295" s="1751"/>
      <c r="H295" s="1751"/>
      <c r="I295" s="1751"/>
      <c r="J295" s="1751"/>
      <c r="K295" s="1751"/>
      <c r="L295" s="1751"/>
      <c r="M295" s="1751"/>
      <c r="N295" s="74"/>
      <c r="O295" s="70"/>
      <c r="P295" s="1747"/>
      <c r="Q295" s="426"/>
    </row>
    <row r="296" spans="1:21" s="42" customFormat="1" ht="11.25" customHeight="1">
      <c r="A296" s="3641"/>
      <c r="B296" s="3642"/>
      <c r="C296" s="3642"/>
      <c r="D296" s="3642"/>
      <c r="E296" s="3642"/>
      <c r="F296" s="3642"/>
      <c r="G296" s="3642"/>
      <c r="H296" s="3642"/>
      <c r="I296" s="3642"/>
      <c r="J296" s="3642"/>
      <c r="K296" s="3642"/>
      <c r="L296" s="3642"/>
      <c r="M296" s="3642"/>
      <c r="N296" s="3642"/>
      <c r="O296" s="3642"/>
      <c r="P296" s="3643"/>
      <c r="Q296" s="445"/>
    </row>
    <row r="297" spans="1:21" s="42" customFormat="1" ht="3" customHeight="1" thickBot="1">
      <c r="A297" s="41"/>
      <c r="D297" s="38"/>
      <c r="E297" s="35"/>
      <c r="F297" s="887"/>
      <c r="G297" s="887"/>
      <c r="H297" s="887"/>
      <c r="I297" s="887"/>
      <c r="J297" s="897"/>
      <c r="K297" s="897"/>
      <c r="L297" s="897"/>
      <c r="M297" s="59"/>
      <c r="N297" s="887"/>
      <c r="O297" s="1750"/>
      <c r="P297" s="2"/>
    </row>
    <row r="298" spans="1:21" s="102" customFormat="1" ht="12.6" customHeight="1" thickBot="1">
      <c r="A298" s="152" t="s">
        <v>359</v>
      </c>
      <c r="B298" s="106" t="s">
        <v>3871</v>
      </c>
      <c r="C298" s="92"/>
      <c r="D298" s="58"/>
      <c r="E298" s="58"/>
      <c r="H298" s="172"/>
      <c r="I298" s="432" t="s">
        <v>3684</v>
      </c>
      <c r="M298" s="1747">
        <v>10</v>
      </c>
      <c r="N298" s="6"/>
      <c r="O298" s="1089">
        <f>IF(OR(O299="Yes",O300="Yes"),$M$298,0)</f>
        <v>0</v>
      </c>
      <c r="P298" s="1089">
        <f>IF(OR(P299="Yes",P300="Yes"),$M$298,0)</f>
        <v>0</v>
      </c>
      <c r="Q298" s="109" t="s">
        <v>437</v>
      </c>
      <c r="R298" s="42"/>
    </row>
    <row r="299" spans="1:21" ht="11.25" customHeight="1">
      <c r="A299" s="1748" t="s">
        <v>1957</v>
      </c>
      <c r="B299" s="1129" t="s">
        <v>3677</v>
      </c>
      <c r="D299" s="614"/>
      <c r="E299" s="614"/>
      <c r="F299" s="614"/>
      <c r="G299" s="614"/>
      <c r="H299" s="614"/>
      <c r="I299" s="614"/>
      <c r="J299" s="614"/>
      <c r="K299" s="614"/>
      <c r="L299" s="1032"/>
      <c r="M299" s="3652" t="str">
        <f>IF(OR(SUM(T299:T300)&gt;1,SUM(U299:U300)&gt;1),"Only one category can be met by other means!","")</f>
        <v/>
      </c>
      <c r="N299" s="463" t="s">
        <v>1957</v>
      </c>
      <c r="O299" s="2444"/>
      <c r="P299" s="534"/>
      <c r="U299" s="1217">
        <f>IF(L299="Yes",1,0)</f>
        <v>0</v>
      </c>
    </row>
    <row r="300" spans="1:21" ht="11.25" customHeight="1">
      <c r="A300" s="1748" t="s">
        <v>1959</v>
      </c>
      <c r="B300" s="1129" t="s">
        <v>3678</v>
      </c>
      <c r="D300" s="614"/>
      <c r="L300" s="1032"/>
      <c r="M300" s="3652"/>
      <c r="N300" s="463" t="s">
        <v>1959</v>
      </c>
      <c r="O300" s="2446"/>
      <c r="P300" s="536"/>
      <c r="U300" s="1217">
        <f>IF(L300="Yes",1,0)</f>
        <v>0</v>
      </c>
    </row>
    <row r="301" spans="1:21" s="42" customFormat="1" ht="10.5" customHeight="1" thickBot="1">
      <c r="A301" s="41"/>
      <c r="B301" s="1205" t="s">
        <v>3645</v>
      </c>
      <c r="C301" s="41"/>
      <c r="D301" s="47"/>
      <c r="E301" s="47"/>
      <c r="F301" s="47"/>
      <c r="G301" s="47"/>
      <c r="H301" s="35"/>
      <c r="I301" s="35"/>
      <c r="J301" s="35"/>
      <c r="K301" s="35"/>
      <c r="M301" s="45"/>
      <c r="N301" s="61"/>
      <c r="O301" s="2"/>
      <c r="P301" s="1750"/>
    </row>
    <row r="302" spans="1:21" s="42" customFormat="1" ht="21.75" customHeight="1" thickTop="1" thickBot="1">
      <c r="A302" s="3589" t="s">
        <v>4977</v>
      </c>
      <c r="B302" s="3590"/>
      <c r="C302" s="3590"/>
      <c r="D302" s="3590"/>
      <c r="E302" s="3590"/>
      <c r="F302" s="3590"/>
      <c r="G302" s="3590"/>
      <c r="H302" s="3590"/>
      <c r="I302" s="3590"/>
      <c r="J302" s="3590"/>
      <c r="K302" s="3590"/>
      <c r="L302" s="3590"/>
      <c r="M302" s="3590"/>
      <c r="N302" s="3590"/>
      <c r="O302" s="3590"/>
      <c r="P302" s="3591"/>
      <c r="Q302" s="1073" t="s">
        <v>1239</v>
      </c>
    </row>
    <row r="303" spans="1:21" s="42" customFormat="1" ht="10.5" customHeight="1" thickTop="1">
      <c r="A303" s="41"/>
      <c r="B303" s="85" t="s">
        <v>1841</v>
      </c>
      <c r="C303" s="41"/>
      <c r="D303" s="85"/>
      <c r="E303" s="1751"/>
      <c r="F303" s="1751"/>
      <c r="G303" s="1751"/>
      <c r="H303" s="1751"/>
      <c r="I303" s="1751"/>
      <c r="J303" s="1751"/>
      <c r="K303" s="1751"/>
      <c r="L303" s="1751"/>
      <c r="M303" s="1751"/>
      <c r="N303" s="74"/>
      <c r="O303" s="70"/>
      <c r="P303" s="1747"/>
      <c r="Q303" s="426"/>
    </row>
    <row r="304" spans="1:21" s="42" customFormat="1" ht="11.25" customHeight="1">
      <c r="A304" s="3641"/>
      <c r="B304" s="3642"/>
      <c r="C304" s="3642"/>
      <c r="D304" s="3642"/>
      <c r="E304" s="3642"/>
      <c r="F304" s="3642"/>
      <c r="G304" s="3642"/>
      <c r="H304" s="3642"/>
      <c r="I304" s="3642"/>
      <c r="J304" s="3642"/>
      <c r="K304" s="3642"/>
      <c r="L304" s="3642"/>
      <c r="M304" s="3642"/>
      <c r="N304" s="3642"/>
      <c r="O304" s="3642"/>
      <c r="P304" s="3643"/>
      <c r="Q304" s="445"/>
    </row>
    <row r="305" spans="1:27" s="42" customFormat="1" ht="1.5" customHeight="1" thickBot="1">
      <c r="A305" s="41"/>
      <c r="D305" s="38"/>
      <c r="E305" s="35"/>
      <c r="F305" s="887"/>
      <c r="G305" s="887"/>
      <c r="H305" s="887"/>
      <c r="I305" s="887"/>
      <c r="J305" s="897"/>
      <c r="K305" s="897"/>
      <c r="L305" s="897"/>
      <c r="M305" s="59"/>
      <c r="N305" s="887"/>
      <c r="O305" s="1750"/>
      <c r="P305" s="2"/>
    </row>
    <row r="306" spans="1:27" s="42" customFormat="1" ht="12" customHeight="1" thickBot="1">
      <c r="A306" s="152" t="s">
        <v>360</v>
      </c>
      <c r="B306" s="105" t="s">
        <v>2427</v>
      </c>
      <c r="D306" s="40"/>
      <c r="E306" s="40"/>
      <c r="F306" s="40"/>
      <c r="H306" s="60" t="s">
        <v>4536</v>
      </c>
      <c r="J306" s="86" t="s">
        <v>2748</v>
      </c>
      <c r="K306" s="47"/>
      <c r="L306" s="613" t="str">
        <f>'Part I-Project Information'!$H$105</f>
        <v>Flexible</v>
      </c>
      <c r="M306" s="1747">
        <v>4</v>
      </c>
      <c r="N306" s="5"/>
      <c r="O306" s="1135">
        <f>IF(AND($L$306="Flexible",O307=$M307),$M307,IF(AND($L$306="Flexible",O316&gt;0),O316,IF(AND($L$306="Rural",O320&gt;0),O320,0)))</f>
        <v>3</v>
      </c>
      <c r="P306" s="1135">
        <f>IF(AND($L$306="Flexible",P307=$M307),$M307,IF(AND($L$306="Flexible",P316&gt;0),P316,IF(AND($L$306="Rural",P320&gt;0),P320,0)))</f>
        <v>0</v>
      </c>
      <c r="Q306" s="109" t="s">
        <v>437</v>
      </c>
    </row>
    <row r="307" spans="1:27" ht="11.25" customHeight="1">
      <c r="A307" s="1748" t="s">
        <v>1957</v>
      </c>
      <c r="B307" s="177" t="s">
        <v>3872</v>
      </c>
      <c r="D307" s="32"/>
      <c r="E307" s="32"/>
      <c r="F307" s="32"/>
      <c r="H307" s="86" t="s">
        <v>3584</v>
      </c>
      <c r="I307" s="431"/>
      <c r="J307" s="3648" t="str">
        <f>'Part I-Project Information'!$O$34</f>
        <v>No</v>
      </c>
      <c r="K307" s="3648"/>
      <c r="L307" s="929">
        <f>'Part I-Project Information'!$O$35</f>
        <v>0</v>
      </c>
      <c r="M307" s="72">
        <v>3</v>
      </c>
      <c r="N307" s="463" t="s">
        <v>1957</v>
      </c>
      <c r="O307" s="2484"/>
      <c r="P307" s="860"/>
      <c r="Q307" s="1020" t="str">
        <f>IF(OR($O307=$M307,$O307=0,$O307=""),"","*CHECK!*")</f>
        <v/>
      </c>
      <c r="R307" s="1087" t="s">
        <v>2667</v>
      </c>
    </row>
    <row r="308" spans="1:27" s="100" customFormat="1" ht="23.1" customHeight="1">
      <c r="B308" s="586" t="s">
        <v>1960</v>
      </c>
      <c r="C308" s="3516" t="s">
        <v>4541</v>
      </c>
      <c r="D308" s="3516"/>
      <c r="E308" s="3516"/>
      <c r="F308" s="3516"/>
      <c r="G308" s="3516"/>
      <c r="H308" s="3516"/>
      <c r="I308" s="3516"/>
      <c r="J308" s="3516"/>
      <c r="K308" s="3516"/>
      <c r="L308" s="3516"/>
      <c r="M308" s="1025"/>
      <c r="N308" s="390" t="s">
        <v>1960</v>
      </c>
      <c r="O308" s="2516"/>
      <c r="P308" s="1130"/>
      <c r="Q308" s="3634" t="s">
        <v>3987</v>
      </c>
      <c r="R308" s="3518"/>
      <c r="S308" s="3518"/>
      <c r="T308" s="1025"/>
      <c r="U308" s="1025"/>
      <c r="V308" s="1025"/>
      <c r="W308" s="1025"/>
      <c r="X308" s="1025"/>
      <c r="Y308" s="1025"/>
      <c r="Z308" s="1025"/>
      <c r="AA308" s="1025"/>
    </row>
    <row r="309" spans="1:27" s="117" customFormat="1" ht="11.25" customHeight="1">
      <c r="B309" s="888"/>
      <c r="C309" s="134" t="s">
        <v>3690</v>
      </c>
      <c r="I309" s="387" t="s">
        <v>4537</v>
      </c>
      <c r="J309" s="2517"/>
      <c r="K309" s="433" t="s">
        <v>2272</v>
      </c>
      <c r="L309" s="3649"/>
      <c r="M309" s="3650"/>
      <c r="N309" s="3650"/>
      <c r="O309" s="3650"/>
      <c r="P309" s="3651"/>
      <c r="Q309" s="3634"/>
      <c r="R309" s="3518"/>
      <c r="S309" s="3518"/>
    </row>
    <row r="310" spans="1:27" s="117" customFormat="1" ht="11.25" customHeight="1">
      <c r="B310" s="888"/>
      <c r="C310" s="134" t="s">
        <v>3730</v>
      </c>
      <c r="I310" s="387" t="s">
        <v>4537</v>
      </c>
      <c r="J310" s="2518"/>
      <c r="K310" s="433" t="s">
        <v>2272</v>
      </c>
      <c r="L310" s="3654"/>
      <c r="M310" s="3655"/>
      <c r="N310" s="3655"/>
      <c r="O310" s="3655"/>
      <c r="P310" s="3656"/>
      <c r="Q310" s="3634"/>
      <c r="R310" s="3518"/>
      <c r="S310" s="3518"/>
    </row>
    <row r="311" spans="1:27" s="117" customFormat="1" ht="11.25" customHeight="1">
      <c r="B311" s="888" t="s">
        <v>1962</v>
      </c>
      <c r="C311" s="117" t="s">
        <v>950</v>
      </c>
      <c r="M311" s="6"/>
      <c r="N311" s="174" t="s">
        <v>1962</v>
      </c>
      <c r="O311" s="2453"/>
      <c r="P311" s="940"/>
      <c r="Q311" s="3634"/>
      <c r="R311" s="3518"/>
      <c r="S311" s="3518"/>
    </row>
    <row r="312" spans="1:27" s="117" customFormat="1" ht="11.25" customHeight="1">
      <c r="B312" s="888" t="s">
        <v>2501</v>
      </c>
      <c r="C312" s="117" t="s">
        <v>951</v>
      </c>
      <c r="M312" s="6"/>
      <c r="N312" s="174" t="s">
        <v>2501</v>
      </c>
      <c r="O312" s="2445"/>
      <c r="P312" s="535"/>
      <c r="Q312" s="3634"/>
      <c r="R312" s="3518"/>
      <c r="S312" s="3518"/>
    </row>
    <row r="313" spans="1:27" s="117" customFormat="1" ht="11.25" customHeight="1">
      <c r="B313" s="888" t="s">
        <v>1209</v>
      </c>
      <c r="C313" s="134" t="s">
        <v>4542</v>
      </c>
      <c r="M313" s="6"/>
      <c r="N313" s="174" t="s">
        <v>1209</v>
      </c>
      <c r="O313" s="2445"/>
      <c r="P313" s="535"/>
      <c r="Q313" s="3634"/>
      <c r="R313" s="3518"/>
      <c r="S313" s="3518"/>
    </row>
    <row r="314" spans="1:27" s="117" customFormat="1" ht="11.25" customHeight="1">
      <c r="A314" s="508"/>
      <c r="B314" s="888" t="s">
        <v>1210</v>
      </c>
      <c r="C314" s="117" t="s">
        <v>952</v>
      </c>
      <c r="M314" s="6"/>
      <c r="N314" s="174" t="s">
        <v>1210</v>
      </c>
      <c r="O314" s="2446"/>
      <c r="P314" s="536"/>
      <c r="Q314" s="3634"/>
      <c r="R314" s="3518"/>
      <c r="S314" s="3518"/>
    </row>
    <row r="315" spans="1:27" s="32" customFormat="1" ht="11.25" customHeight="1">
      <c r="A315" s="1748" t="s">
        <v>1959</v>
      </c>
      <c r="B315" s="177" t="s">
        <v>3873</v>
      </c>
      <c r="D315" s="585"/>
      <c r="H315" s="60" t="s">
        <v>4538</v>
      </c>
    </row>
    <row r="316" spans="1:27" s="32" customFormat="1" ht="11.25" customHeight="1">
      <c r="A316" s="1748"/>
      <c r="B316" s="1563" t="s">
        <v>4543</v>
      </c>
      <c r="C316" s="1563"/>
      <c r="D316" s="1563"/>
      <c r="E316" s="1563"/>
      <c r="F316" s="1563"/>
      <c r="G316" s="1563"/>
      <c r="H316" s="1563"/>
      <c r="I316" s="1563"/>
      <c r="J316" s="1563"/>
      <c r="K316" s="1563"/>
      <c r="L316" s="1563"/>
      <c r="M316" s="581">
        <v>3</v>
      </c>
      <c r="N316" s="463" t="s">
        <v>1959</v>
      </c>
      <c r="O316" s="894">
        <f>IF(AND(O317&gt;0,O318&gt;0),"choose",IF($L$306="Flexible", MIN($M$316, SUM(O317:O318)), 0))</f>
        <v>3</v>
      </c>
      <c r="P316" s="894">
        <f>IF(AND(P317&gt;0,P318&gt;0),"choose",IF($L$306="Flexible", MIN($M$316, SUM(P317:P318)), 0))</f>
        <v>0</v>
      </c>
    </row>
    <row r="317" spans="1:27" s="32" customFormat="1" ht="11.25" customHeight="1">
      <c r="B317" s="888" t="s">
        <v>1960</v>
      </c>
      <c r="C317" s="583" t="s">
        <v>3875</v>
      </c>
      <c r="L317" s="376" t="str">
        <f>IF(OR($O317=$M317,$O317=0,$O317=""),"","* * Check Score! * *")</f>
        <v/>
      </c>
      <c r="M317" s="72">
        <v>3</v>
      </c>
      <c r="N317" s="435" t="s">
        <v>1960</v>
      </c>
      <c r="O317" s="2519">
        <v>3</v>
      </c>
      <c r="P317" s="528"/>
      <c r="Q317" s="1020" t="str">
        <f>IF(OR($O317=$M317,$O317=0,$O317=""),"","*CHECK!*")</f>
        <v/>
      </c>
      <c r="R317" s="1087" t="s">
        <v>2667</v>
      </c>
    </row>
    <row r="318" spans="1:27" ht="11.25" customHeight="1">
      <c r="A318" s="584"/>
      <c r="B318" s="586" t="s">
        <v>1962</v>
      </c>
      <c r="C318" s="439" t="s">
        <v>3522</v>
      </c>
      <c r="D318" s="32"/>
      <c r="E318" s="32"/>
      <c r="F318" s="32"/>
      <c r="G318" s="39"/>
      <c r="H318" s="60"/>
      <c r="I318" s="39"/>
      <c r="L318" s="376" t="str">
        <f>IF(OR($O318=$M318,$O318=0,$O318=""),"","* * Check Score! * *")</f>
        <v/>
      </c>
      <c r="M318" s="80">
        <v>2</v>
      </c>
      <c r="N318" s="892" t="s">
        <v>1962</v>
      </c>
      <c r="O318" s="2480"/>
      <c r="P318" s="530"/>
      <c r="Q318" s="1020" t="str">
        <f>IF(OR($O318=$M318,$O318=0,$O318=""),"","*CHECK!*")</f>
        <v/>
      </c>
      <c r="R318" s="1087" t="s">
        <v>2667</v>
      </c>
    </row>
    <row r="319" spans="1:27" s="32" customFormat="1" ht="11.25" customHeight="1">
      <c r="A319" s="1748" t="s">
        <v>738</v>
      </c>
      <c r="B319" s="177" t="s">
        <v>3874</v>
      </c>
      <c r="D319" s="585"/>
      <c r="H319" s="60" t="s">
        <v>4539</v>
      </c>
    </row>
    <row r="320" spans="1:27" s="32" customFormat="1" ht="11.25" customHeight="1">
      <c r="A320" s="1748"/>
      <c r="B320" s="891" t="s">
        <v>3524</v>
      </c>
      <c r="D320" s="585"/>
      <c r="H320" s="60"/>
      <c r="M320" s="581">
        <v>4</v>
      </c>
      <c r="N320" s="463" t="s">
        <v>738</v>
      </c>
      <c r="O320" s="894">
        <f>IF(OR(AND(O321&gt;0,O322&gt;0,O323&gt;0),AND(O321&gt;0,O322&gt;0),AND(O321&gt;0,O323&gt;0),AND(O322&gt;0,O323&gt;0)),"choose",IF($L$306="Rural", MIN($M$320, SUM(O321:O323)), 0))</f>
        <v>0</v>
      </c>
      <c r="P320" s="894">
        <f>IF($L$306="Rural", MIN($M$320, SUM(P321:P323)), 0)</f>
        <v>0</v>
      </c>
    </row>
    <row r="321" spans="1:21" s="32" customFormat="1" ht="11.25" customHeight="1">
      <c r="B321" s="888" t="s">
        <v>1960</v>
      </c>
      <c r="C321" s="431" t="s">
        <v>3523</v>
      </c>
      <c r="K321" s="3653" t="str">
        <f>IF(OR(AND(O321&gt;0,O323&gt;0), AND(O322&gt;0,O323&gt;0), AND(O321&gt;0,O322&gt;0)),"Choose option 1 or 2 or 3!!!","")</f>
        <v/>
      </c>
      <c r="L321" s="3653"/>
      <c r="M321" s="72">
        <v>4</v>
      </c>
      <c r="N321" s="435" t="s">
        <v>1960</v>
      </c>
      <c r="O321" s="2519"/>
      <c r="P321" s="528"/>
      <c r="Q321" s="1020" t="str">
        <f>IF(OR($O321=$M321,$O321=0,$O321=""),"","*CHECK!*")</f>
        <v/>
      </c>
      <c r="R321" s="1087" t="s">
        <v>2667</v>
      </c>
    </row>
    <row r="322" spans="1:21" ht="11.25" customHeight="1">
      <c r="A322" s="584"/>
      <c r="B322" s="586" t="s">
        <v>1962</v>
      </c>
      <c r="C322" s="583" t="s">
        <v>3876</v>
      </c>
      <c r="D322" s="32"/>
      <c r="E322" s="32"/>
      <c r="F322" s="32"/>
      <c r="G322" s="39"/>
      <c r="H322" s="893"/>
      <c r="I322" s="39"/>
      <c r="K322" s="3653"/>
      <c r="L322" s="3653"/>
      <c r="M322" s="80">
        <v>3</v>
      </c>
      <c r="N322" s="892" t="s">
        <v>1962</v>
      </c>
      <c r="O322" s="2479"/>
      <c r="P322" s="529"/>
      <c r="Q322" s="1020" t="str">
        <f>IF(OR($O322=$M322,$O322=0,$O322=""),"","*CHECK!*")</f>
        <v/>
      </c>
      <c r="R322" s="1087" t="s">
        <v>2667</v>
      </c>
    </row>
    <row r="323" spans="1:21" ht="11.25" customHeight="1">
      <c r="A323" s="584"/>
      <c r="B323" s="586" t="s">
        <v>2501</v>
      </c>
      <c r="C323" s="439" t="s">
        <v>3525</v>
      </c>
      <c r="D323" s="32"/>
      <c r="E323" s="32"/>
      <c r="F323" s="32"/>
      <c r="G323" s="39"/>
      <c r="H323" s="60"/>
      <c r="I323" s="39"/>
      <c r="K323" s="3653"/>
      <c r="L323" s="3653"/>
      <c r="M323" s="80">
        <v>2</v>
      </c>
      <c r="N323" s="892" t="s">
        <v>2501</v>
      </c>
      <c r="O323" s="2480"/>
      <c r="P323" s="530"/>
      <c r="Q323" s="1020" t="str">
        <f>IF(OR($O323=$M323,$O323=0,$O323=""),"","*CHECK!*")</f>
        <v/>
      </c>
      <c r="R323" s="1087" t="s">
        <v>2667</v>
      </c>
    </row>
    <row r="324" spans="1:21" s="42" customFormat="1" ht="10.5" customHeight="1" thickBot="1">
      <c r="A324" s="41"/>
      <c r="B324" s="1205" t="s">
        <v>3645</v>
      </c>
      <c r="C324" s="41"/>
      <c r="D324" s="47"/>
      <c r="E324" s="47"/>
      <c r="F324" s="47"/>
      <c r="G324" s="47"/>
      <c r="H324" s="35"/>
      <c r="I324" s="35"/>
      <c r="J324" s="35"/>
      <c r="K324" s="35"/>
      <c r="M324" s="45"/>
      <c r="N324" s="61"/>
      <c r="O324" s="2"/>
      <c r="P324" s="1750"/>
    </row>
    <row r="325" spans="1:21" s="42" customFormat="1" ht="21.75" customHeight="1" thickTop="1" thickBot="1">
      <c r="A325" s="3589" t="s">
        <v>4989</v>
      </c>
      <c r="B325" s="3590"/>
      <c r="C325" s="3590"/>
      <c r="D325" s="3590"/>
      <c r="E325" s="3590"/>
      <c r="F325" s="3590"/>
      <c r="G325" s="3590"/>
      <c r="H325" s="3590"/>
      <c r="I325" s="3590"/>
      <c r="J325" s="3590"/>
      <c r="K325" s="3590"/>
      <c r="L325" s="3590"/>
      <c r="M325" s="3590"/>
      <c r="N325" s="3590"/>
      <c r="O325" s="3590"/>
      <c r="P325" s="3591"/>
      <c r="Q325" s="1073" t="s">
        <v>1239</v>
      </c>
    </row>
    <row r="326" spans="1:21" s="42" customFormat="1" ht="10.5" customHeight="1" thickTop="1">
      <c r="B326" s="85" t="s">
        <v>1841</v>
      </c>
      <c r="C326" s="98"/>
      <c r="D326" s="85"/>
      <c r="E326" s="99"/>
      <c r="F326" s="1751"/>
      <c r="G326" s="1751"/>
      <c r="H326" s="1751"/>
      <c r="I326" s="1751"/>
      <c r="J326" s="1751"/>
      <c r="K326" s="1751"/>
      <c r="L326" s="1751"/>
      <c r="M326" s="1751"/>
      <c r="N326" s="74"/>
      <c r="O326" s="70"/>
      <c r="P326" s="1747"/>
      <c r="Q326" s="426"/>
    </row>
    <row r="327" spans="1:21" s="42" customFormat="1" ht="11.25" customHeight="1">
      <c r="A327" s="3258"/>
      <c r="B327" s="3259"/>
      <c r="C327" s="3259"/>
      <c r="D327" s="3259"/>
      <c r="E327" s="3259"/>
      <c r="F327" s="3259"/>
      <c r="G327" s="3259"/>
      <c r="H327" s="3259"/>
      <c r="I327" s="3259"/>
      <c r="J327" s="3259"/>
      <c r="K327" s="3259"/>
      <c r="L327" s="3259"/>
      <c r="M327" s="3259"/>
      <c r="N327" s="3259"/>
      <c r="O327" s="3259"/>
      <c r="P327" s="3260"/>
      <c r="Q327" s="445"/>
    </row>
    <row r="328" spans="1:21" ht="1.5" customHeight="1" thickBot="1">
      <c r="B328" s="116"/>
      <c r="C328" s="116"/>
      <c r="D328" s="116"/>
      <c r="E328" s="116"/>
      <c r="T328" s="1069"/>
      <c r="U328" s="1069"/>
    </row>
    <row r="329" spans="1:21" s="42" customFormat="1" ht="12" customHeight="1" thickBot="1">
      <c r="A329" s="152" t="s">
        <v>361</v>
      </c>
      <c r="B329" s="106" t="s">
        <v>2775</v>
      </c>
      <c r="C329" s="53"/>
      <c r="D329" s="115"/>
      <c r="E329" s="115"/>
      <c r="F329" s="40"/>
      <c r="H329" s="60" t="s">
        <v>396</v>
      </c>
      <c r="K329" s="47"/>
      <c r="M329" s="1747">
        <v>4</v>
      </c>
      <c r="N329" s="5"/>
      <c r="O329" s="1089">
        <f>IF(AND(O330&gt;0,O334&gt;0),"AorB?",MIN($M329,SUM(O330,O334,O336)))</f>
        <v>4</v>
      </c>
      <c r="P329" s="1089">
        <f>IF(AND(P330&gt;0,P334&gt;0),"AorB?",MIN($M329,SUM(P330,P334,P336)))</f>
        <v>0</v>
      </c>
      <c r="Q329" s="109" t="s">
        <v>437</v>
      </c>
      <c r="T329" s="1069"/>
      <c r="U329" s="1069"/>
    </row>
    <row r="330" spans="1:21" s="102" customFormat="1" ht="11.25" customHeight="1">
      <c r="A330" s="138" t="s">
        <v>1957</v>
      </c>
      <c r="B330" s="165" t="s">
        <v>2205</v>
      </c>
      <c r="D330" s="60"/>
      <c r="E330" s="60"/>
      <c r="F330" s="43"/>
      <c r="G330" s="26"/>
      <c r="L330" s="376"/>
      <c r="M330" s="6">
        <v>3</v>
      </c>
      <c r="N330" s="463" t="s">
        <v>1957</v>
      </c>
      <c r="O330" s="1564">
        <f>IF(OR(AND(O331="Yes",O332="Yes",O333="Yes"),AND(O331="Yes",O333="Yes"),AND(O332="Yes",O333="Yes"),AND(O331="Yes",O332="Yes")),"choose",IF(O331="Yes",$M$331,IF(O332="Yes",$M$332, IF(O333="Yes",$M$333,0))))</f>
        <v>3</v>
      </c>
      <c r="P330" s="1564">
        <f>IF(OR(AND(P331="Yes",P332="Yes",P333="Yes"),AND(P331="Yes",P333="Yes"),AND(P332="Yes",P333="Yes"),AND(P331="Yes",P332="Yes")),"choose",IF(P331="Yes",$M$331,IF(P332="Yes",$M$332, IF(P333="Yes",$M$333,0))))</f>
        <v>0</v>
      </c>
      <c r="Q330" s="1020"/>
      <c r="R330" s="1087"/>
      <c r="T330" s="1069"/>
      <c r="U330" s="1069"/>
    </row>
    <row r="331" spans="1:21" s="102" customFormat="1" ht="11.25" customHeight="1">
      <c r="A331" s="138"/>
      <c r="B331" s="888" t="s">
        <v>1960</v>
      </c>
      <c r="C331" s="39" t="s">
        <v>4544</v>
      </c>
      <c r="D331" s="60"/>
      <c r="E331" s="60"/>
      <c r="F331" s="43"/>
      <c r="G331" s="26"/>
      <c r="L331" s="376"/>
      <c r="M331" s="6">
        <v>3</v>
      </c>
      <c r="N331" s="435" t="s">
        <v>1960</v>
      </c>
      <c r="O331" s="2444" t="s">
        <v>2933</v>
      </c>
      <c r="P331" s="534"/>
      <c r="Q331" s="1020"/>
      <c r="R331" s="1087"/>
      <c r="T331" s="1069"/>
      <c r="U331" s="1069"/>
    </row>
    <row r="332" spans="1:21" s="102" customFormat="1" ht="11.25" customHeight="1">
      <c r="A332" s="138"/>
      <c r="B332" s="586" t="s">
        <v>1962</v>
      </c>
      <c r="C332" s="39" t="s">
        <v>4545</v>
      </c>
      <c r="D332" s="60"/>
      <c r="E332" s="60"/>
      <c r="F332" s="43"/>
      <c r="G332" s="26"/>
      <c r="L332" s="376"/>
      <c r="M332" s="6">
        <v>2</v>
      </c>
      <c r="N332" s="892" t="s">
        <v>1962</v>
      </c>
      <c r="O332" s="2445"/>
      <c r="P332" s="535"/>
      <c r="Q332" s="1020"/>
      <c r="R332" s="1087"/>
      <c r="T332" s="1069"/>
      <c r="U332" s="1069"/>
    </row>
    <row r="333" spans="1:21" s="102" customFormat="1" ht="10.5" customHeight="1">
      <c r="A333" s="138"/>
      <c r="B333" s="586" t="s">
        <v>2501</v>
      </c>
      <c r="C333" s="39" t="s">
        <v>4546</v>
      </c>
      <c r="D333" s="60"/>
      <c r="E333" s="60"/>
      <c r="F333" s="43"/>
      <c r="G333" s="26"/>
      <c r="K333" s="463"/>
      <c r="M333" s="6">
        <v>1</v>
      </c>
      <c r="N333" s="892" t="s">
        <v>2501</v>
      </c>
      <c r="O333" s="2446"/>
      <c r="P333" s="536"/>
      <c r="R333" s="389"/>
      <c r="T333" s="1069"/>
      <c r="U333" s="1069"/>
    </row>
    <row r="334" spans="1:21" s="42" customFormat="1" ht="11.25" customHeight="1">
      <c r="A334" s="138" t="s">
        <v>1959</v>
      </c>
      <c r="B334" s="165" t="s">
        <v>2206</v>
      </c>
      <c r="D334" s="56"/>
      <c r="K334" s="51"/>
      <c r="L334" s="376" t="str">
        <f>IF(OR($O334=$M334,$O334=0,$O334=""),"","* * Check Score! * *")</f>
        <v/>
      </c>
      <c r="M334" s="6">
        <v>1</v>
      </c>
      <c r="N334" s="463" t="s">
        <v>1959</v>
      </c>
      <c r="O334" s="1146">
        <f>IF(O335="Yes",$M$334,0)</f>
        <v>0</v>
      </c>
      <c r="P334" s="1146">
        <f>IF(P335="Yes",$M$334,0)</f>
        <v>0</v>
      </c>
      <c r="Q334" s="1020" t="str">
        <f>IF(OR($O334=$M334,$O334=0,$O334=""),"","*CHECK!*")</f>
        <v/>
      </c>
      <c r="R334" s="1087" t="s">
        <v>2667</v>
      </c>
      <c r="T334" s="1069"/>
      <c r="U334" s="1069"/>
    </row>
    <row r="335" spans="1:21" s="42" customFormat="1" ht="21.75" customHeight="1">
      <c r="A335" s="153"/>
      <c r="B335" s="3337" t="s">
        <v>4548</v>
      </c>
      <c r="C335" s="3337"/>
      <c r="D335" s="3337"/>
      <c r="E335" s="3337"/>
      <c r="F335" s="3337"/>
      <c r="G335" s="3337"/>
      <c r="H335" s="3337"/>
      <c r="I335" s="3337"/>
      <c r="J335" s="3337"/>
      <c r="K335" s="3337"/>
      <c r="L335" s="3337"/>
      <c r="M335" s="6"/>
      <c r="N335" s="463"/>
      <c r="O335" s="2520"/>
      <c r="P335" s="1211"/>
      <c r="Q335" s="389"/>
      <c r="R335" s="376"/>
      <c r="T335" s="1069"/>
      <c r="U335" s="1069"/>
    </row>
    <row r="336" spans="1:21" s="42" customFormat="1" ht="11.25" customHeight="1">
      <c r="A336" s="138" t="s">
        <v>738</v>
      </c>
      <c r="B336" s="165" t="s">
        <v>4547</v>
      </c>
      <c r="D336" s="56"/>
      <c r="H336" s="172"/>
      <c r="K336" s="51"/>
      <c r="L336" s="376"/>
      <c r="M336" s="6">
        <v>1</v>
      </c>
      <c r="N336" s="463" t="s">
        <v>738</v>
      </c>
      <c r="O336" s="1146">
        <f>IF(O330=0,0,IF(O337="Yes",$M$336,0))</f>
        <v>1</v>
      </c>
      <c r="P336" s="1146">
        <f>IF(P330=0,0,IF(P337="Yes",$M$336,0))</f>
        <v>0</v>
      </c>
      <c r="Q336" s="1020" t="str">
        <f>IF(OR($O336=$M336,$O336=0,$O336=""),"","*CHECK!*")</f>
        <v/>
      </c>
      <c r="R336" s="1087" t="s">
        <v>2667</v>
      </c>
      <c r="T336" s="1069"/>
      <c r="U336" s="1069"/>
    </row>
    <row r="337" spans="1:21" s="42" customFormat="1" ht="33.75" customHeight="1">
      <c r="B337" s="3257" t="s">
        <v>4699</v>
      </c>
      <c r="C337" s="3257"/>
      <c r="D337" s="3257"/>
      <c r="E337" s="3257"/>
      <c r="F337" s="3257"/>
      <c r="G337" s="3257"/>
      <c r="H337" s="3257"/>
      <c r="I337" s="3257"/>
      <c r="J337" s="3257"/>
      <c r="K337" s="3257"/>
      <c r="L337" s="3257"/>
      <c r="M337" s="6"/>
      <c r="N337" s="463"/>
      <c r="O337" s="2457" t="s">
        <v>2933</v>
      </c>
      <c r="P337" s="1763"/>
      <c r="Q337" s="389"/>
      <c r="R337" s="376"/>
      <c r="T337" s="1069"/>
      <c r="U337" s="1069"/>
    </row>
    <row r="338" spans="1:21" s="42" customFormat="1" ht="22.5" customHeight="1">
      <c r="B338" s="3257" t="s">
        <v>4700</v>
      </c>
      <c r="C338" s="3257"/>
      <c r="D338" s="3257"/>
      <c r="E338" s="3257"/>
      <c r="F338" s="3257"/>
      <c r="G338" s="3257"/>
      <c r="H338" s="3257"/>
      <c r="I338" s="3257"/>
      <c r="J338" s="3257"/>
      <c r="K338" s="3257"/>
      <c r="L338" s="3257"/>
      <c r="M338" s="6"/>
      <c r="N338" s="6"/>
      <c r="O338" s="6"/>
      <c r="P338" s="6"/>
      <c r="Q338" s="389"/>
      <c r="R338" s="376"/>
      <c r="T338" s="1069"/>
      <c r="U338" s="1069"/>
    </row>
    <row r="339" spans="1:21" s="42" customFormat="1" ht="10.5" customHeight="1">
      <c r="A339" s="41"/>
      <c r="B339" s="85" t="s">
        <v>1841</v>
      </c>
      <c r="C339" s="98"/>
      <c r="D339" s="85"/>
      <c r="E339" s="99"/>
      <c r="F339" s="1751"/>
      <c r="G339" s="1751"/>
      <c r="H339" s="1751"/>
      <c r="I339" s="1751"/>
      <c r="J339" s="1751"/>
      <c r="K339" s="1751"/>
      <c r="L339" s="1751"/>
      <c r="M339" s="1751"/>
      <c r="N339" s="74"/>
      <c r="O339" s="70"/>
      <c r="P339" s="1747"/>
      <c r="Q339" s="426"/>
    </row>
    <row r="340" spans="1:21" s="42" customFormat="1" ht="11.25" customHeight="1">
      <c r="A340" s="3258"/>
      <c r="B340" s="3259"/>
      <c r="C340" s="3259"/>
      <c r="D340" s="3259"/>
      <c r="E340" s="3259"/>
      <c r="F340" s="3259"/>
      <c r="G340" s="3259"/>
      <c r="H340" s="3259"/>
      <c r="I340" s="3259"/>
      <c r="J340" s="3259"/>
      <c r="K340" s="3259"/>
      <c r="L340" s="3259"/>
      <c r="M340" s="3259"/>
      <c r="N340" s="3259"/>
      <c r="O340" s="3259"/>
      <c r="P340" s="3260"/>
      <c r="Q340" s="445"/>
    </row>
    <row r="341" spans="1:21" s="42" customFormat="1" ht="1.5" customHeight="1" thickBot="1">
      <c r="A341" s="41"/>
      <c r="B341" s="41"/>
      <c r="C341" s="1751"/>
      <c r="D341" s="1751"/>
      <c r="E341" s="1751"/>
      <c r="F341" s="1751"/>
      <c r="G341" s="1751"/>
      <c r="H341" s="1751"/>
      <c r="I341" s="1751"/>
      <c r="J341" s="1751"/>
      <c r="K341" s="1751"/>
      <c r="L341" s="1751"/>
      <c r="M341" s="1751"/>
      <c r="N341" s="74"/>
      <c r="O341" s="70"/>
      <c r="P341" s="887"/>
    </row>
    <row r="342" spans="1:21" s="42" customFormat="1" ht="12" customHeight="1" thickBot="1">
      <c r="A342" s="153" t="s">
        <v>1705</v>
      </c>
      <c r="B342" s="106" t="s">
        <v>3877</v>
      </c>
      <c r="C342" s="87"/>
      <c r="D342" s="57"/>
      <c r="E342" s="51"/>
      <c r="G342" s="54"/>
      <c r="M342" s="1747">
        <v>2</v>
      </c>
      <c r="N342" s="5"/>
      <c r="O342" s="5"/>
      <c r="P342" s="1135">
        <f>P343+P351</f>
        <v>0</v>
      </c>
      <c r="Q342" s="109" t="s">
        <v>437</v>
      </c>
    </row>
    <row r="343" spans="1:21" s="42" customFormat="1" ht="12" customHeight="1">
      <c r="A343" s="138" t="s">
        <v>1957</v>
      </c>
      <c r="B343" s="165" t="s">
        <v>3878</v>
      </c>
      <c r="C343" s="87"/>
      <c r="D343" s="57"/>
      <c r="E343" s="51"/>
      <c r="G343" s="487">
        <f>'Part VIII-Threshold Criteria'!I361</f>
        <v>0</v>
      </c>
      <c r="J343" s="39" t="s">
        <v>2649</v>
      </c>
      <c r="L343" s="35"/>
      <c r="N343" s="463" t="s">
        <v>1957</v>
      </c>
      <c r="O343" s="462" t="str">
        <f>'Part I-Project Information'!$H$100</f>
        <v>No</v>
      </c>
      <c r="P343" s="531"/>
      <c r="Q343" s="109"/>
      <c r="R343" s="1087" t="s">
        <v>2667</v>
      </c>
    </row>
    <row r="344" spans="1:21" s="102" customFormat="1" ht="10.5" customHeight="1">
      <c r="A344" s="138"/>
      <c r="B344" s="374" t="s">
        <v>1960</v>
      </c>
      <c r="C344" s="35" t="s">
        <v>4619</v>
      </c>
      <c r="D344" s="32"/>
      <c r="N344" s="435" t="s">
        <v>4621</v>
      </c>
      <c r="O344" s="2444"/>
      <c r="P344" s="534"/>
      <c r="R344" s="376"/>
    </row>
    <row r="345" spans="1:21" s="102" customFormat="1" ht="10.5" customHeight="1">
      <c r="A345" s="138"/>
      <c r="B345" s="374"/>
      <c r="C345" s="35" t="s">
        <v>4620</v>
      </c>
      <c r="D345" s="32"/>
      <c r="N345" s="435" t="s">
        <v>4622</v>
      </c>
      <c r="O345" s="2445"/>
      <c r="P345" s="535"/>
      <c r="R345" s="376"/>
    </row>
    <row r="346" spans="1:21" s="102" customFormat="1" ht="10.5" customHeight="1">
      <c r="A346" s="138"/>
      <c r="B346" s="374" t="s">
        <v>1962</v>
      </c>
      <c r="C346" s="35" t="s">
        <v>3887</v>
      </c>
      <c r="D346" s="32"/>
      <c r="N346" s="892" t="s">
        <v>1962</v>
      </c>
      <c r="O346" s="2445"/>
      <c r="P346" s="535"/>
      <c r="R346" s="376"/>
    </row>
    <row r="347" spans="1:21" s="102" customFormat="1" ht="10.5" customHeight="1">
      <c r="A347" s="138"/>
      <c r="B347" s="374" t="s">
        <v>2501</v>
      </c>
      <c r="C347" s="35" t="s">
        <v>4623</v>
      </c>
      <c r="D347" s="32"/>
      <c r="N347" s="892" t="s">
        <v>2501</v>
      </c>
      <c r="O347" s="2445"/>
      <c r="P347" s="535"/>
      <c r="R347" s="376"/>
    </row>
    <row r="348" spans="1:21" s="102" customFormat="1" ht="10.5" customHeight="1">
      <c r="B348" s="374" t="s">
        <v>1209</v>
      </c>
      <c r="C348" s="35" t="s">
        <v>4549</v>
      </c>
      <c r="D348" s="32"/>
      <c r="N348" s="892" t="s">
        <v>1209</v>
      </c>
      <c r="O348" s="2445"/>
      <c r="P348" s="535"/>
      <c r="R348" s="376"/>
    </row>
    <row r="349" spans="1:21" s="102" customFormat="1" ht="10.5" customHeight="1">
      <c r="A349" s="138"/>
      <c r="B349" s="374" t="s">
        <v>1210</v>
      </c>
      <c r="C349" s="35" t="s">
        <v>4550</v>
      </c>
      <c r="D349" s="32"/>
      <c r="N349" s="892" t="s">
        <v>1210</v>
      </c>
      <c r="O349" s="2445"/>
      <c r="P349" s="535"/>
      <c r="R349" s="376"/>
    </row>
    <row r="350" spans="1:21" s="102" customFormat="1" ht="10.5" customHeight="1">
      <c r="A350" s="138"/>
      <c r="B350" s="374" t="s">
        <v>1855</v>
      </c>
      <c r="C350" s="35" t="s">
        <v>3888</v>
      </c>
      <c r="D350" s="32"/>
      <c r="N350" s="892" t="s">
        <v>1855</v>
      </c>
      <c r="O350" s="2446"/>
      <c r="P350" s="536"/>
      <c r="R350" s="376"/>
    </row>
    <row r="351" spans="1:21" s="42" customFormat="1" ht="12" customHeight="1">
      <c r="A351" s="138" t="s">
        <v>1959</v>
      </c>
      <c r="B351" s="165" t="s">
        <v>3879</v>
      </c>
      <c r="C351" s="87"/>
      <c r="D351" s="57"/>
      <c r="E351" s="51"/>
      <c r="G351" s="487">
        <f>'Part I-Project Information'!D165</f>
        <v>0</v>
      </c>
      <c r="I351" s="487"/>
      <c r="L351" s="1173"/>
      <c r="M351" s="1173"/>
      <c r="N351" s="463" t="s">
        <v>1959</v>
      </c>
      <c r="P351" s="531"/>
      <c r="Q351" s="109"/>
      <c r="R351" s="1087" t="s">
        <v>2667</v>
      </c>
    </row>
    <row r="352" spans="1:21" s="102" customFormat="1" ht="10.5" customHeight="1">
      <c r="A352" s="153"/>
      <c r="B352" s="374" t="s">
        <v>1960</v>
      </c>
      <c r="C352" s="35" t="s">
        <v>4619</v>
      </c>
      <c r="D352" s="51"/>
      <c r="E352" s="51"/>
      <c r="M352" s="1747"/>
      <c r="N352" s="435" t="s">
        <v>4621</v>
      </c>
      <c r="O352" s="2444"/>
      <c r="P352" s="534"/>
      <c r="Q352" s="109"/>
    </row>
    <row r="353" spans="1:18" s="102" customFormat="1" ht="10.5" customHeight="1">
      <c r="A353" s="138"/>
      <c r="B353" s="374"/>
      <c r="C353" s="35" t="s">
        <v>4624</v>
      </c>
      <c r="D353" s="32"/>
      <c r="N353" s="435" t="s">
        <v>4622</v>
      </c>
      <c r="O353" s="2445"/>
      <c r="P353" s="535"/>
      <c r="R353" s="376"/>
    </row>
    <row r="354" spans="1:18" s="102" customFormat="1" ht="10.5" customHeight="1">
      <c r="A354" s="138"/>
      <c r="B354" s="374" t="s">
        <v>1962</v>
      </c>
      <c r="C354" s="35" t="s">
        <v>3900</v>
      </c>
      <c r="D354" s="32"/>
      <c r="N354" s="892" t="s">
        <v>1962</v>
      </c>
      <c r="O354" s="2445"/>
      <c r="P354" s="535"/>
      <c r="R354" s="376"/>
    </row>
    <row r="355" spans="1:18" s="102" customFormat="1" ht="10.5" customHeight="1">
      <c r="B355" s="374" t="s">
        <v>2501</v>
      </c>
      <c r="C355" s="35" t="s">
        <v>3888</v>
      </c>
      <c r="D355" s="32"/>
      <c r="N355" s="892" t="s">
        <v>2501</v>
      </c>
      <c r="O355" s="2446"/>
      <c r="P355" s="536"/>
      <c r="R355" s="376"/>
    </row>
    <row r="356" spans="1:18" s="42" customFormat="1" ht="10.5" customHeight="1">
      <c r="B356" s="85" t="s">
        <v>1841</v>
      </c>
      <c r="C356" s="98"/>
      <c r="D356" s="85"/>
      <c r="E356" s="99"/>
      <c r="F356" s="1751"/>
      <c r="G356" s="1751"/>
      <c r="H356" s="1751"/>
      <c r="I356" s="1751"/>
      <c r="J356" s="1751"/>
      <c r="K356" s="1751"/>
      <c r="L356" s="1751"/>
      <c r="M356" s="1751"/>
      <c r="N356" s="74"/>
      <c r="O356" s="70"/>
      <c r="P356" s="1747"/>
      <c r="Q356" s="426"/>
    </row>
    <row r="357" spans="1:18" s="42" customFormat="1" ht="11.25" customHeight="1">
      <c r="A357" s="3258"/>
      <c r="B357" s="3259"/>
      <c r="C357" s="3259"/>
      <c r="D357" s="3259"/>
      <c r="E357" s="3259"/>
      <c r="F357" s="3259"/>
      <c r="G357" s="3259"/>
      <c r="H357" s="3259"/>
      <c r="I357" s="3259"/>
      <c r="J357" s="3259"/>
      <c r="K357" s="3259"/>
      <c r="L357" s="3259"/>
      <c r="M357" s="3259"/>
      <c r="N357" s="3259"/>
      <c r="O357" s="3259"/>
      <c r="P357" s="3260"/>
      <c r="Q357" s="445"/>
    </row>
    <row r="358" spans="1:18" ht="2.25" customHeight="1" thickBot="1"/>
    <row r="359" spans="1:18" s="62" customFormat="1" ht="12.6" customHeight="1" thickBot="1">
      <c r="A359" s="153" t="s">
        <v>2736</v>
      </c>
      <c r="B359" s="105" t="s">
        <v>3880</v>
      </c>
      <c r="H359" s="463" t="s">
        <v>3505</v>
      </c>
      <c r="I359" s="1773" t="str">
        <f>'Part I-Project Information'!$H$105</f>
        <v>Flexible</v>
      </c>
      <c r="J359" s="1524"/>
      <c r="L359" s="376" t="str">
        <f>IF(OR($O359=$M359,$O359=0,$O359=""),"","* * Check Score! * *")</f>
        <v/>
      </c>
      <c r="M359" s="1747">
        <v>1</v>
      </c>
      <c r="N359" s="395"/>
      <c r="O359" s="2521">
        <v>1</v>
      </c>
      <c r="P359" s="1138"/>
      <c r="Q359" s="109" t="s">
        <v>437</v>
      </c>
    </row>
    <row r="360" spans="1:18" s="62" customFormat="1" ht="12" customHeight="1">
      <c r="C360" s="898"/>
      <c r="D360" s="898"/>
      <c r="E360" s="898"/>
      <c r="F360" s="898"/>
      <c r="G360" s="898"/>
      <c r="H360" s="898"/>
      <c r="I360" s="3647" t="s">
        <v>4551</v>
      </c>
      <c r="J360" s="3647"/>
      <c r="K360" s="3647"/>
      <c r="L360" s="3647"/>
      <c r="M360" s="3647"/>
      <c r="N360" s="3647"/>
      <c r="O360" s="3647"/>
      <c r="P360" s="3647"/>
      <c r="R360" s="376"/>
    </row>
    <row r="361" spans="1:18" s="62" customFormat="1" ht="12" customHeight="1">
      <c r="A361" s="898"/>
      <c r="B361" s="3257" t="s">
        <v>4594</v>
      </c>
      <c r="C361" s="3257"/>
      <c r="D361" s="3257"/>
      <c r="E361" s="3257"/>
      <c r="F361" s="3257"/>
      <c r="G361" s="3257"/>
      <c r="H361" s="3333"/>
      <c r="I361" s="3645" t="s">
        <v>4906</v>
      </c>
      <c r="J361" s="3645"/>
      <c r="K361" s="3645"/>
      <c r="L361" s="3645">
        <v>4</v>
      </c>
      <c r="M361" s="3645"/>
      <c r="N361" s="3645"/>
      <c r="O361" s="3645"/>
      <c r="P361" s="3645"/>
      <c r="R361" s="376"/>
    </row>
    <row r="362" spans="1:18" s="62" customFormat="1" ht="12" customHeight="1">
      <c r="A362" s="898"/>
      <c r="B362" s="3257"/>
      <c r="C362" s="3257"/>
      <c r="D362" s="3257"/>
      <c r="E362" s="3257"/>
      <c r="F362" s="3257"/>
      <c r="G362" s="3257"/>
      <c r="H362" s="3333"/>
      <c r="I362" s="3646" t="s">
        <v>4900</v>
      </c>
      <c r="J362" s="3646"/>
      <c r="K362" s="3646"/>
      <c r="L362" s="3646">
        <v>5</v>
      </c>
      <c r="M362" s="3646"/>
      <c r="N362" s="3646"/>
      <c r="O362" s="3646"/>
      <c r="P362" s="3646"/>
      <c r="R362" s="376"/>
    </row>
    <row r="363" spans="1:18" s="62" customFormat="1" ht="12" customHeight="1">
      <c r="A363" s="1751"/>
      <c r="B363" s="3257"/>
      <c r="C363" s="3257"/>
      <c r="D363" s="3257"/>
      <c r="E363" s="3257"/>
      <c r="F363" s="3257"/>
      <c r="G363" s="3257"/>
      <c r="H363" s="3333"/>
      <c r="I363" s="3514">
        <v>3</v>
      </c>
      <c r="J363" s="3514"/>
      <c r="K363" s="3514"/>
      <c r="L363" s="3514">
        <v>6</v>
      </c>
      <c r="M363" s="3514"/>
      <c r="N363" s="3514"/>
      <c r="O363" s="3514"/>
      <c r="P363" s="3514"/>
      <c r="R363" s="376"/>
    </row>
    <row r="364" spans="1:18" s="102" customFormat="1" ht="10.5" customHeight="1" thickBot="1">
      <c r="A364" s="41"/>
      <c r="B364" s="1205" t="s">
        <v>3645</v>
      </c>
      <c r="C364" s="41"/>
      <c r="D364" s="47"/>
      <c r="E364" s="47"/>
      <c r="F364" s="47"/>
      <c r="G364" s="47"/>
      <c r="H364" s="35"/>
      <c r="I364" s="35"/>
      <c r="J364" s="35"/>
      <c r="K364" s="35"/>
      <c r="M364" s="45"/>
      <c r="N364" s="5"/>
      <c r="O364" s="2"/>
      <c r="P364" s="1747"/>
    </row>
    <row r="365" spans="1:18" s="42" customFormat="1" ht="21.75" customHeight="1" thickTop="1" thickBot="1">
      <c r="A365" s="3589" t="s">
        <v>4988</v>
      </c>
      <c r="B365" s="3590"/>
      <c r="C365" s="3590"/>
      <c r="D365" s="3590"/>
      <c r="E365" s="3590"/>
      <c r="F365" s="3590"/>
      <c r="G365" s="3590"/>
      <c r="H365" s="3590"/>
      <c r="I365" s="3590"/>
      <c r="J365" s="3590"/>
      <c r="K365" s="3590"/>
      <c r="L365" s="3590"/>
      <c r="M365" s="3590"/>
      <c r="N365" s="3590"/>
      <c r="O365" s="3590"/>
      <c r="P365" s="3591"/>
      <c r="Q365" s="1073" t="s">
        <v>1239</v>
      </c>
    </row>
    <row r="366" spans="1:18" s="102" customFormat="1" ht="10.5" customHeight="1" thickTop="1">
      <c r="A366" s="41"/>
      <c r="B366" s="97" t="s">
        <v>1841</v>
      </c>
      <c r="C366" s="41"/>
      <c r="D366" s="97"/>
      <c r="E366" s="1756"/>
      <c r="F366" s="1756"/>
      <c r="G366" s="1756"/>
      <c r="H366" s="1756"/>
      <c r="I366" s="1756"/>
      <c r="J366" s="1756"/>
      <c r="K366" s="1756"/>
      <c r="L366" s="1756"/>
      <c r="M366" s="1756"/>
      <c r="N366" s="93"/>
      <c r="O366" s="872"/>
      <c r="P366" s="1747"/>
      <c r="Q366" s="426"/>
    </row>
    <row r="367" spans="1:18" s="42" customFormat="1" ht="11.25" customHeight="1">
      <c r="A367" s="3258"/>
      <c r="B367" s="3259"/>
      <c r="C367" s="3259"/>
      <c r="D367" s="3259"/>
      <c r="E367" s="3259"/>
      <c r="F367" s="3259"/>
      <c r="G367" s="3259"/>
      <c r="H367" s="3259"/>
      <c r="I367" s="3259"/>
      <c r="J367" s="3259"/>
      <c r="K367" s="3259"/>
      <c r="L367" s="3259"/>
      <c r="M367" s="3259"/>
      <c r="N367" s="3259"/>
      <c r="O367" s="3259"/>
      <c r="P367" s="3260"/>
      <c r="Q367" s="445"/>
    </row>
    <row r="368" spans="1:18" s="42" customFormat="1" ht="2.25" customHeight="1" thickBot="1">
      <c r="A368" s="41"/>
      <c r="C368" s="1751"/>
      <c r="D368" s="1751"/>
      <c r="E368" s="1751"/>
      <c r="F368" s="1751"/>
      <c r="G368" s="1751"/>
      <c r="H368" s="1751"/>
      <c r="I368" s="1751"/>
      <c r="J368" s="1751"/>
      <c r="K368" s="1751"/>
      <c r="L368" s="1751"/>
      <c r="M368" s="1751"/>
      <c r="N368" s="74"/>
      <c r="O368" s="70"/>
      <c r="P368" s="887"/>
    </row>
    <row r="369" spans="1:18" s="42" customFormat="1" ht="12" customHeight="1" thickBot="1">
      <c r="A369" s="152" t="s">
        <v>2223</v>
      </c>
      <c r="B369" s="105" t="s">
        <v>1651</v>
      </c>
      <c r="D369" s="88"/>
      <c r="E369" s="88"/>
      <c r="G369" s="51"/>
      <c r="I369" s="457"/>
      <c r="J369" s="457"/>
      <c r="K369" s="1315"/>
      <c r="L369" s="1314"/>
      <c r="M369" s="887">
        <v>1</v>
      </c>
      <c r="N369" s="395"/>
      <c r="O369" s="1089">
        <f>IF(AND(NOT($I$370="&lt; Select applicable GICH &gt;"),OR(O371="Yes",O372="Yes"),O374="Yes",O375="Yes",O376="Yes"),$M$369,0)</f>
        <v>0</v>
      </c>
      <c r="P369" s="1089">
        <f>IF(AND(NOT($I$370="&lt; Select applicable GICH &gt;"),OR(P371="Yes",P372="Yes"),P374="Yes",P375="Yes",P376="Yes"),$M$369,0)</f>
        <v>0</v>
      </c>
      <c r="Q369" s="109" t="s">
        <v>437</v>
      </c>
    </row>
    <row r="370" spans="1:18" s="42" customFormat="1" ht="11.25" customHeight="1">
      <c r="A370" s="138"/>
      <c r="B370" s="113" t="s">
        <v>3526</v>
      </c>
      <c r="D370" s="88"/>
      <c r="E370" s="88"/>
      <c r="G370" s="51"/>
      <c r="I370" s="3144" t="s">
        <v>2489</v>
      </c>
      <c r="J370" s="3145"/>
      <c r="K370" s="3145"/>
      <c r="L370" s="3146"/>
      <c r="M370" s="430"/>
      <c r="N370" s="395"/>
      <c r="Q370" s="1020"/>
      <c r="R370" s="1087" t="s">
        <v>2667</v>
      </c>
    </row>
    <row r="371" spans="1:18" s="42" customFormat="1" ht="11.25" customHeight="1">
      <c r="A371" s="138"/>
      <c r="B371" s="374" t="s">
        <v>1960</v>
      </c>
      <c r="C371" s="54" t="s">
        <v>4567</v>
      </c>
      <c r="D371" s="88"/>
      <c r="E371" s="54" t="s">
        <v>4568</v>
      </c>
      <c r="G371" s="51"/>
      <c r="I371" s="1313"/>
      <c r="J371" s="1042"/>
      <c r="K371" s="1042"/>
      <c r="L371" s="1042"/>
      <c r="M371" s="1765"/>
      <c r="N371" s="1575"/>
      <c r="O371" s="2444"/>
      <c r="P371" s="534"/>
      <c r="Q371" s="1576"/>
      <c r="R371" s="1087"/>
    </row>
    <row r="372" spans="1:18" s="42" customFormat="1" ht="11.25" customHeight="1">
      <c r="A372" s="138"/>
      <c r="B372" s="50"/>
      <c r="C372" s="54"/>
      <c r="D372" s="88"/>
      <c r="E372" s="1059" t="s">
        <v>4569</v>
      </c>
      <c r="G372" s="51"/>
      <c r="H372" s="1103"/>
      <c r="I372" s="54"/>
      <c r="J372" s="54"/>
      <c r="K372" s="54"/>
      <c r="L372" s="1575"/>
      <c r="M372" s="2484"/>
      <c r="N372" s="1575"/>
      <c r="O372" s="2446"/>
      <c r="P372" s="536"/>
      <c r="Q372" s="1576"/>
      <c r="R372" s="1087"/>
    </row>
    <row r="373" spans="1:18" s="42" customFormat="1" ht="11.25" customHeight="1">
      <c r="B373" s="374" t="s">
        <v>1962</v>
      </c>
      <c r="C373" s="39" t="s">
        <v>4570</v>
      </c>
      <c r="D373" s="102"/>
      <c r="E373" s="88"/>
      <c r="F373" s="51"/>
      <c r="G373" s="51"/>
      <c r="N373" s="463" t="s">
        <v>1957</v>
      </c>
      <c r="O373" s="1173" t="s">
        <v>2477</v>
      </c>
      <c r="P373" s="1173" t="s">
        <v>2477</v>
      </c>
    </row>
    <row r="374" spans="1:18" s="117" customFormat="1" ht="10.5" customHeight="1">
      <c r="B374" s="375" t="s">
        <v>2403</v>
      </c>
      <c r="C374" s="433" t="s">
        <v>3881</v>
      </c>
      <c r="H374" s="38"/>
      <c r="I374" s="38"/>
      <c r="J374" s="38"/>
      <c r="K374" s="38"/>
      <c r="N374" s="375" t="s">
        <v>2403</v>
      </c>
      <c r="O374" s="2444"/>
      <c r="P374" s="534"/>
    </row>
    <row r="375" spans="1:18" s="117" customFormat="1" ht="10.5" customHeight="1">
      <c r="B375" s="388" t="s">
        <v>2404</v>
      </c>
      <c r="C375" s="433" t="s">
        <v>3882</v>
      </c>
      <c r="N375" s="388" t="s">
        <v>2404</v>
      </c>
      <c r="O375" s="2445"/>
      <c r="P375" s="535"/>
    </row>
    <row r="376" spans="1:18" s="117" customFormat="1" ht="10.5" customHeight="1">
      <c r="B376" s="375" t="s">
        <v>2405</v>
      </c>
      <c r="C376" s="433" t="s">
        <v>4552</v>
      </c>
      <c r="N376" s="375" t="s">
        <v>2405</v>
      </c>
      <c r="O376" s="2446"/>
      <c r="P376" s="536"/>
    </row>
    <row r="377" spans="1:18" s="100" customFormat="1" ht="11.25" customHeight="1">
      <c r="B377" s="179" t="s">
        <v>3527</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5" t="s">
        <v>3645</v>
      </c>
      <c r="C379" s="41"/>
      <c r="D379" s="47"/>
      <c r="E379" s="47"/>
      <c r="F379" s="47"/>
      <c r="G379" s="47"/>
      <c r="H379" s="35"/>
      <c r="I379" s="35"/>
      <c r="J379" s="35"/>
      <c r="K379" s="35"/>
      <c r="M379" s="45"/>
      <c r="N379" s="5"/>
      <c r="O379" s="2"/>
      <c r="P379" s="1747"/>
    </row>
    <row r="380" spans="1:18" s="42" customFormat="1" ht="21.75" customHeight="1" thickTop="1" thickBot="1">
      <c r="A380" s="3589" t="s">
        <v>4977</v>
      </c>
      <c r="B380" s="3590"/>
      <c r="C380" s="3590"/>
      <c r="D380" s="3590"/>
      <c r="E380" s="3590"/>
      <c r="F380" s="3590"/>
      <c r="G380" s="3590"/>
      <c r="H380" s="3590"/>
      <c r="I380" s="3590"/>
      <c r="J380" s="3590"/>
      <c r="K380" s="3590"/>
      <c r="L380" s="3590"/>
      <c r="M380" s="3590"/>
      <c r="N380" s="3590"/>
      <c r="O380" s="3590"/>
      <c r="P380" s="3591"/>
      <c r="Q380" s="1073" t="s">
        <v>1239</v>
      </c>
    </row>
    <row r="381" spans="1:18" s="102" customFormat="1" ht="10.5" customHeight="1" thickTop="1">
      <c r="A381" s="41"/>
      <c r="B381" s="97" t="s">
        <v>1841</v>
      </c>
      <c r="C381" s="41"/>
      <c r="D381" s="97"/>
      <c r="E381" s="1756"/>
      <c r="F381" s="1756"/>
      <c r="G381" s="1756"/>
      <c r="H381" s="1756"/>
      <c r="I381" s="1756"/>
      <c r="J381" s="1756"/>
      <c r="K381" s="1756"/>
      <c r="L381" s="1756"/>
      <c r="M381" s="1756"/>
      <c r="N381" s="93"/>
      <c r="O381" s="872"/>
      <c r="P381" s="1747"/>
      <c r="Q381" s="426"/>
    </row>
    <row r="382" spans="1:18" s="42" customFormat="1" ht="11.25" customHeight="1">
      <c r="A382" s="3258"/>
      <c r="B382" s="3259"/>
      <c r="C382" s="3259"/>
      <c r="D382" s="3259"/>
      <c r="E382" s="3259"/>
      <c r="F382" s="3259"/>
      <c r="G382" s="3259"/>
      <c r="H382" s="3259"/>
      <c r="I382" s="3259"/>
      <c r="J382" s="3259"/>
      <c r="K382" s="3259"/>
      <c r="L382" s="3259"/>
      <c r="M382" s="3259"/>
      <c r="N382" s="3259"/>
      <c r="O382" s="3259"/>
      <c r="P382" s="3260"/>
      <c r="Q382" s="445"/>
    </row>
    <row r="383" spans="1:18" ht="3" customHeight="1" thickBot="1"/>
    <row r="384" spans="1:18" s="42" customFormat="1" ht="12.75" customHeight="1" thickBot="1">
      <c r="A384" s="152" t="s">
        <v>3917</v>
      </c>
      <c r="B384" s="105" t="s">
        <v>3884</v>
      </c>
      <c r="D384" s="88"/>
      <c r="E384" s="88"/>
      <c r="F384" s="51"/>
      <c r="G384" s="51"/>
      <c r="H384" s="165" t="s">
        <v>2748</v>
      </c>
      <c r="J384" s="513" t="str">
        <f>'Part I-Project Information'!$H$105</f>
        <v>Flexible</v>
      </c>
      <c r="L384" s="376" t="str">
        <f>IF(OR($O384=$M384,$O384=$M391,$O384=$M411,$O384=0,$O384=""),"","* * Check Score! * *")</f>
        <v>* * Check Score! * *</v>
      </c>
      <c r="M384" s="2">
        <v>4</v>
      </c>
      <c r="N384" s="5"/>
      <c r="O384" s="1137">
        <f>O391+O411</f>
        <v>2</v>
      </c>
      <c r="P384" s="1137">
        <f>P391+P411</f>
        <v>0</v>
      </c>
      <c r="Q384" s="109" t="s">
        <v>437</v>
      </c>
    </row>
    <row r="385" spans="1:19" s="42" customFormat="1" ht="10.5" customHeight="1">
      <c r="A385" s="41"/>
      <c r="B385" s="113" t="s">
        <v>4554</v>
      </c>
      <c r="E385" s="88"/>
      <c r="F385" s="51"/>
      <c r="G385" s="51"/>
      <c r="H385" s="51"/>
      <c r="I385" s="51"/>
      <c r="J385" s="53"/>
      <c r="K385" s="59"/>
      <c r="L385" s="55"/>
      <c r="O385" s="516" t="s">
        <v>2477</v>
      </c>
      <c r="P385" s="516" t="s">
        <v>2477</v>
      </c>
    </row>
    <row r="386" spans="1:19" s="100" customFormat="1" ht="12.75" customHeight="1">
      <c r="B386" s="375" t="s">
        <v>2403</v>
      </c>
      <c r="C386" s="134" t="s">
        <v>2776</v>
      </c>
      <c r="E386" s="88"/>
      <c r="F386" s="51"/>
      <c r="G386" s="51"/>
      <c r="H386" s="51"/>
      <c r="I386" s="51"/>
      <c r="J386" s="53"/>
      <c r="K386" s="59"/>
      <c r="L386" s="3661" t="str">
        <f>IF(OR(O386="No",O386="",O387="No",O387="",O388="No",O388="",O389="No",O389=""),"Unmet criterion results in no points!","")</f>
        <v/>
      </c>
      <c r="M386" s="3661"/>
      <c r="N386" s="375" t="s">
        <v>2403</v>
      </c>
      <c r="O386" s="2444" t="s">
        <v>2933</v>
      </c>
      <c r="P386" s="534"/>
      <c r="R386" s="3635" t="str">
        <f>IF(OR(P386="No",P386="",P387="No",P387="",P388="No",P388="",P389="No",P389=""),"Unmet criterion results in no points!","")</f>
        <v>Unmet criterion results in no points!</v>
      </c>
      <c r="S386" s="3635" t="e">
        <f>IF(OR(V386="No",V386="",V387="No",V387="",V388="No",V388="",V389="No",V389="",#REF!="No",#REF!="",#REF!="No",#REF!=""),"Unmet criterion results in no points!","")</f>
        <v>#REF!</v>
      </c>
    </row>
    <row r="387" spans="1:19" s="100" customFormat="1" ht="12.75" customHeight="1">
      <c r="B387" s="375" t="s">
        <v>2404</v>
      </c>
      <c r="C387" s="134" t="s">
        <v>3693</v>
      </c>
      <c r="L387" s="3661"/>
      <c r="M387" s="3661"/>
      <c r="N387" s="375" t="s">
        <v>2404</v>
      </c>
      <c r="O387" s="2445" t="s">
        <v>2933</v>
      </c>
      <c r="P387" s="535"/>
      <c r="R387" s="3635"/>
      <c r="S387" s="3635"/>
    </row>
    <row r="388" spans="1:19" s="100" customFormat="1" ht="12.75" customHeight="1">
      <c r="B388" s="375" t="s">
        <v>2405</v>
      </c>
      <c r="C388" s="134" t="s">
        <v>3692</v>
      </c>
      <c r="L388" s="3661"/>
      <c r="M388" s="3661"/>
      <c r="N388" s="375" t="s">
        <v>2405</v>
      </c>
      <c r="O388" s="2445" t="s">
        <v>2933</v>
      </c>
      <c r="P388" s="535"/>
      <c r="R388" s="3635"/>
      <c r="S388" s="3635"/>
    </row>
    <row r="389" spans="1:19" s="100" customFormat="1" ht="33.75" customHeight="1">
      <c r="B389" s="388" t="s">
        <v>2406</v>
      </c>
      <c r="C389" s="3516" t="s">
        <v>4553</v>
      </c>
      <c r="D389" s="3516"/>
      <c r="E389" s="3516"/>
      <c r="F389" s="3516"/>
      <c r="G389" s="3516"/>
      <c r="H389" s="3516"/>
      <c r="I389" s="3516"/>
      <c r="J389" s="3516"/>
      <c r="K389" s="3516"/>
      <c r="L389" s="3516"/>
      <c r="M389" s="3516"/>
      <c r="N389" s="388" t="s">
        <v>2406</v>
      </c>
      <c r="O389" s="2457" t="s">
        <v>2933</v>
      </c>
      <c r="P389" s="1763"/>
    </row>
    <row r="390" spans="1:19" ht="3" customHeight="1">
      <c r="C390" s="3516"/>
      <c r="D390" s="3516"/>
      <c r="E390" s="3516"/>
      <c r="F390" s="3516"/>
      <c r="G390" s="3516"/>
      <c r="H390" s="3516"/>
      <c r="I390" s="3516"/>
      <c r="J390" s="3516"/>
      <c r="K390" s="3516"/>
      <c r="L390" s="3516"/>
      <c r="M390" s="3516"/>
    </row>
    <row r="391" spans="1:19" ht="12.75" customHeight="1">
      <c r="A391" s="1039" t="s">
        <v>1957</v>
      </c>
      <c r="B391" s="177" t="s">
        <v>3885</v>
      </c>
      <c r="L391" s="376" t="str">
        <f>IF(OR($O391=$M391,$O391=0,$O391=""),"","* * Check Score! * *")</f>
        <v>* * Check Score! * *</v>
      </c>
      <c r="M391" s="1127">
        <v>3</v>
      </c>
      <c r="N391" s="463" t="s">
        <v>1957</v>
      </c>
      <c r="O391" s="2484">
        <v>2</v>
      </c>
      <c r="P391" s="860"/>
      <c r="Q391" s="1020" t="str">
        <f>IF(OR($O391=$M391,$O391=0,$O391=""),"","*CHECK!*")</f>
        <v>*CHECK!*</v>
      </c>
      <c r="R391" s="1087" t="s">
        <v>2667</v>
      </c>
    </row>
    <row r="392" spans="1:19" ht="12.75" customHeight="1">
      <c r="A392" s="1039"/>
      <c r="B392" s="586" t="s">
        <v>1960</v>
      </c>
      <c r="C392" s="1023" t="s">
        <v>4556</v>
      </c>
      <c r="D392" s="1023"/>
      <c r="E392" s="1023"/>
      <c r="F392" s="1023"/>
      <c r="G392" s="1023"/>
      <c r="H392" s="1023"/>
      <c r="I392" s="1023"/>
      <c r="N392" s="26"/>
      <c r="O392" s="26"/>
      <c r="P392" s="26"/>
    </row>
    <row r="393" spans="1:19" ht="12.75" customHeight="1">
      <c r="A393" s="1039"/>
      <c r="B393" s="440"/>
      <c r="C393" s="1023" t="s">
        <v>4555</v>
      </c>
      <c r="D393" s="1023"/>
      <c r="E393" s="1023"/>
      <c r="F393" s="1023"/>
      <c r="G393" s="1023"/>
      <c r="H393" s="1023"/>
      <c r="I393" s="1023"/>
      <c r="J393" s="3660" t="s">
        <v>1964</v>
      </c>
      <c r="K393" s="3660"/>
      <c r="M393" s="3660" t="s">
        <v>1964</v>
      </c>
      <c r="N393" s="3660"/>
      <c r="O393" s="3660"/>
      <c r="P393" s="3660"/>
    </row>
    <row r="394" spans="1:19" s="42" customFormat="1" ht="12.75" customHeight="1">
      <c r="A394" s="175"/>
      <c r="B394" s="375" t="s">
        <v>2403</v>
      </c>
      <c r="C394" s="35" t="s">
        <v>1464</v>
      </c>
      <c r="I394" s="375" t="s">
        <v>2403</v>
      </c>
      <c r="J394" s="3529"/>
      <c r="K394" s="3530"/>
      <c r="L394" s="375" t="s">
        <v>2403</v>
      </c>
      <c r="M394" s="3657"/>
      <c r="N394" s="3658"/>
      <c r="O394" s="3658"/>
      <c r="P394" s="3659"/>
      <c r="R394" s="376"/>
    </row>
    <row r="395" spans="1:19" ht="12.75" customHeight="1">
      <c r="A395" s="176"/>
      <c r="B395" s="388" t="s">
        <v>2404</v>
      </c>
      <c r="C395" s="35" t="s">
        <v>3530</v>
      </c>
      <c r="I395" s="388" t="s">
        <v>2404</v>
      </c>
      <c r="J395" s="3587"/>
      <c r="K395" s="3588"/>
      <c r="L395" s="388" t="s">
        <v>2404</v>
      </c>
      <c r="M395" s="3526"/>
      <c r="N395" s="3527"/>
      <c r="O395" s="3527"/>
      <c r="P395" s="3528"/>
      <c r="R395" s="376"/>
    </row>
    <row r="396" spans="1:19" ht="12.75" customHeight="1">
      <c r="B396" s="375" t="s">
        <v>2405</v>
      </c>
      <c r="C396" s="35" t="s">
        <v>2592</v>
      </c>
      <c r="I396" s="375" t="s">
        <v>2405</v>
      </c>
      <c r="J396" s="3587"/>
      <c r="K396" s="3588"/>
      <c r="L396" s="375" t="s">
        <v>2405</v>
      </c>
      <c r="M396" s="3526"/>
      <c r="N396" s="3527"/>
      <c r="O396" s="3527"/>
      <c r="P396" s="3528"/>
      <c r="R396" s="376"/>
    </row>
    <row r="397" spans="1:19" ht="12.75" customHeight="1">
      <c r="A397" s="176"/>
      <c r="B397" s="375" t="s">
        <v>2406</v>
      </c>
      <c r="C397" s="35" t="s">
        <v>3394</v>
      </c>
      <c r="I397" s="375" t="s">
        <v>2406</v>
      </c>
      <c r="J397" s="3587"/>
      <c r="K397" s="3588"/>
      <c r="L397" s="375" t="s">
        <v>2406</v>
      </c>
      <c r="M397" s="3526"/>
      <c r="N397" s="3527"/>
      <c r="O397" s="3527"/>
      <c r="P397" s="3528"/>
      <c r="R397" s="376"/>
    </row>
    <row r="398" spans="1:19" s="42" customFormat="1" ht="12.75" customHeight="1">
      <c r="A398" s="175"/>
      <c r="B398" s="388" t="s">
        <v>2407</v>
      </c>
      <c r="C398" s="35" t="s">
        <v>2688</v>
      </c>
      <c r="I398" s="388" t="s">
        <v>2407</v>
      </c>
      <c r="J398" s="3587"/>
      <c r="K398" s="3588"/>
      <c r="L398" s="388" t="s">
        <v>2407</v>
      </c>
      <c r="M398" s="3526"/>
      <c r="N398" s="3527"/>
      <c r="O398" s="3527"/>
      <c r="P398" s="3528"/>
      <c r="R398" s="376"/>
    </row>
    <row r="399" spans="1:19" ht="12.75" customHeight="1">
      <c r="B399" s="375" t="s">
        <v>2423</v>
      </c>
      <c r="C399" s="35" t="s">
        <v>1463</v>
      </c>
      <c r="I399" s="375" t="s">
        <v>2423</v>
      </c>
      <c r="J399" s="3587"/>
      <c r="K399" s="3588"/>
      <c r="L399" s="375" t="s">
        <v>2423</v>
      </c>
      <c r="M399" s="3526"/>
      <c r="N399" s="3527"/>
      <c r="O399" s="3527"/>
      <c r="P399" s="3528"/>
      <c r="R399" s="376"/>
    </row>
    <row r="400" spans="1:19" ht="12.75" customHeight="1">
      <c r="A400" s="176"/>
      <c r="B400" s="375" t="s">
        <v>2424</v>
      </c>
      <c r="C400" s="35" t="s">
        <v>3529</v>
      </c>
      <c r="I400" s="375" t="s">
        <v>2424</v>
      </c>
      <c r="J400" s="3587"/>
      <c r="K400" s="3588"/>
      <c r="L400" s="375" t="s">
        <v>2424</v>
      </c>
      <c r="M400" s="3526"/>
      <c r="N400" s="3527"/>
      <c r="O400" s="3527"/>
      <c r="P400" s="3528"/>
      <c r="R400" s="376"/>
    </row>
    <row r="401" spans="1:23" ht="12.75" customHeight="1">
      <c r="B401" s="387" t="s">
        <v>2425</v>
      </c>
      <c r="C401" s="35" t="s">
        <v>4557</v>
      </c>
      <c r="I401" s="387" t="s">
        <v>2425</v>
      </c>
      <c r="J401" s="3587"/>
      <c r="K401" s="3588"/>
      <c r="L401" s="387" t="s">
        <v>2425</v>
      </c>
      <c r="M401" s="3526"/>
      <c r="N401" s="3527"/>
      <c r="O401" s="3527"/>
      <c r="P401" s="3528"/>
      <c r="R401" s="376"/>
    </row>
    <row r="402" spans="1:23" ht="12.75" customHeight="1">
      <c r="B402" s="387" t="s">
        <v>2426</v>
      </c>
      <c r="C402" s="35" t="s">
        <v>4558</v>
      </c>
      <c r="I402" s="387" t="s">
        <v>2426</v>
      </c>
      <c r="J402" s="3587"/>
      <c r="K402" s="3588"/>
      <c r="L402" s="387" t="s">
        <v>2426</v>
      </c>
      <c r="M402" s="3526"/>
      <c r="N402" s="3527"/>
      <c r="O402" s="3527"/>
      <c r="P402" s="3528"/>
      <c r="R402" s="376"/>
    </row>
    <row r="403" spans="1:23" ht="12.75" customHeight="1" thickBot="1">
      <c r="B403" s="387" t="s">
        <v>3531</v>
      </c>
      <c r="C403" s="35" t="s">
        <v>4559</v>
      </c>
      <c r="I403" s="387" t="s">
        <v>3531</v>
      </c>
      <c r="J403" s="3587">
        <v>1200000</v>
      </c>
      <c r="K403" s="3588"/>
      <c r="L403" s="387" t="s">
        <v>3531</v>
      </c>
      <c r="M403" s="3610"/>
      <c r="N403" s="3611"/>
      <c r="O403" s="3611"/>
      <c r="P403" s="3612"/>
      <c r="R403" s="376"/>
    </row>
    <row r="404" spans="1:23" ht="12.75" customHeight="1" thickBot="1">
      <c r="B404" s="1171" t="s">
        <v>4560</v>
      </c>
      <c r="H404" s="1204" t="s">
        <v>2594</v>
      </c>
      <c r="J404" s="3665">
        <f>SUM(J394:K403)</f>
        <v>1200000</v>
      </c>
      <c r="K404" s="3666"/>
      <c r="M404" s="3665">
        <f>SUM($M394:$M403)</f>
        <v>0</v>
      </c>
      <c r="N404" s="3667"/>
      <c r="O404" s="3667"/>
      <c r="P404" s="3666"/>
      <c r="R404" s="376"/>
    </row>
    <row r="405" spans="1:23" s="42" customFormat="1" ht="7.5" customHeight="1">
      <c r="A405" s="41"/>
      <c r="D405" s="38"/>
      <c r="E405" s="35"/>
      <c r="F405" s="887"/>
      <c r="G405" s="547"/>
      <c r="H405" s="278"/>
      <c r="J405" s="502"/>
      <c r="K405" s="502"/>
      <c r="L405" s="547"/>
      <c r="M405" s="502"/>
      <c r="N405" s="502"/>
      <c r="O405" s="1113"/>
      <c r="P405" s="502"/>
    </row>
    <row r="406" spans="1:23" ht="12.75" customHeight="1">
      <c r="B406" s="1566" t="s">
        <v>1962</v>
      </c>
      <c r="C406" s="515" t="s">
        <v>2593</v>
      </c>
      <c r="M406" s="502"/>
      <c r="N406" s="502"/>
      <c r="O406" s="158"/>
      <c r="P406" s="502"/>
    </row>
    <row r="407" spans="1:23" s="42" customFormat="1" ht="12" customHeight="1">
      <c r="A407" s="41"/>
      <c r="C407" s="3507" t="s">
        <v>4702</v>
      </c>
      <c r="D407" s="3507"/>
      <c r="E407" s="3507"/>
      <c r="F407" s="433" t="s">
        <v>4602</v>
      </c>
      <c r="H407" s="26"/>
      <c r="I407" s="2522">
        <v>15872847</v>
      </c>
      <c r="J407" s="3598">
        <f>'Part IV-A-Uses of Funds'!$G$132</f>
        <v>15872847</v>
      </c>
      <c r="K407" s="3599"/>
      <c r="L407" s="547"/>
      <c r="M407" s="502"/>
      <c r="N407" s="502"/>
      <c r="O407" s="1113"/>
      <c r="P407" s="502"/>
    </row>
    <row r="408" spans="1:23" ht="12.75" customHeight="1">
      <c r="C408" s="3507"/>
      <c r="D408" s="3507"/>
      <c r="E408" s="3507"/>
      <c r="F408" s="437" t="s">
        <v>4601</v>
      </c>
      <c r="I408" s="2523">
        <f>1200000/15872847</f>
        <v>7.5600804316957135E-2</v>
      </c>
      <c r="J408" s="3605">
        <f>IF($J407=0,0,$J404/$J407)</f>
        <v>7.5600804316957135E-2</v>
      </c>
      <c r="K408" s="3606"/>
      <c r="M408" s="3607">
        <f>IF($J407=0,0,$M404/$J407)</f>
        <v>0</v>
      </c>
      <c r="N408" s="3608"/>
      <c r="O408" s="3608"/>
      <c r="P408" s="3609"/>
    </row>
    <row r="409" spans="1:23" s="42" customFormat="1" ht="12.75" customHeight="1">
      <c r="C409" s="3507"/>
      <c r="D409" s="3507"/>
      <c r="E409" s="3507"/>
      <c r="F409" s="1059" t="s">
        <v>4600</v>
      </c>
      <c r="I409" s="2524">
        <v>2</v>
      </c>
      <c r="J409" s="3602">
        <f>IF(L386="", IF($J408&gt;=0.1, 3,IF($J408&gt;=0.05, 2,IF($J408&gt;=0.02,1,0))),0)</f>
        <v>2</v>
      </c>
      <c r="K409" s="3604"/>
      <c r="L409" s="513"/>
      <c r="M409" s="3602">
        <f>IF(R386="", IF($M408&gt;=0.1, 3,IF($M408&gt;=0.05, 2,IF($M408&gt;=0.02,1,0))),0)</f>
        <v>0</v>
      </c>
      <c r="N409" s="3603"/>
      <c r="O409" s="3603"/>
      <c r="P409" s="3604"/>
    </row>
    <row r="410" spans="1:23" ht="3" customHeight="1" thickBot="1"/>
    <row r="411" spans="1:23" s="102" customFormat="1" ht="12.75" customHeight="1" thickBot="1">
      <c r="A411" s="138" t="s">
        <v>1959</v>
      </c>
      <c r="B411" s="179" t="s">
        <v>3532</v>
      </c>
      <c r="D411" s="38"/>
      <c r="E411" s="35"/>
      <c r="F411" s="887"/>
      <c r="H411" s="35"/>
      <c r="I411" s="887"/>
      <c r="J411" s="897"/>
      <c r="K411" s="897"/>
      <c r="L411" s="376" t="str">
        <f>IF(OR($O411=$M411,$O411=0,$O411=""),"","* * Check Score! * *")</f>
        <v/>
      </c>
      <c r="M411" s="590">
        <v>1</v>
      </c>
      <c r="N411" s="64" t="s">
        <v>1959</v>
      </c>
      <c r="O411" s="2485">
        <v>0</v>
      </c>
      <c r="P411" s="1122"/>
      <c r="Q411" s="109" t="s">
        <v>437</v>
      </c>
      <c r="R411" s="1087" t="s">
        <v>2667</v>
      </c>
      <c r="V411" s="1069"/>
      <c r="W411" s="1069"/>
    </row>
    <row r="412" spans="1:23" s="42" customFormat="1" ht="22.5" customHeight="1">
      <c r="A412" s="138"/>
      <c r="B412" s="1029" t="s">
        <v>2403</v>
      </c>
      <c r="C412" s="3257" t="s">
        <v>3886</v>
      </c>
      <c r="D412" s="3257"/>
      <c r="E412" s="3257"/>
      <c r="F412" s="3257"/>
      <c r="G412" s="3257"/>
      <c r="H412" s="3257"/>
      <c r="I412" s="3257"/>
      <c r="J412" s="3257"/>
      <c r="K412" s="3257"/>
      <c r="L412" s="3257"/>
      <c r="M412" s="3257"/>
      <c r="N412" s="388" t="s">
        <v>2403</v>
      </c>
      <c r="O412" s="2466"/>
      <c r="P412" s="1136"/>
      <c r="V412" s="1069"/>
      <c r="W412" s="1069"/>
    </row>
    <row r="413" spans="1:23" s="42" customFormat="1" ht="12.75" customHeight="1">
      <c r="A413" s="138"/>
      <c r="B413" s="375" t="s">
        <v>2404</v>
      </c>
      <c r="C413" s="51" t="s">
        <v>3685</v>
      </c>
      <c r="D413" s="51"/>
      <c r="E413" s="51"/>
      <c r="F413" s="51"/>
      <c r="G413" s="51"/>
      <c r="H413" s="51"/>
      <c r="I413" s="51"/>
      <c r="J413" s="51"/>
      <c r="K413" s="51"/>
      <c r="M413" s="51"/>
      <c r="N413" s="388" t="s">
        <v>2404</v>
      </c>
      <c r="O413" s="2446"/>
      <c r="P413" s="536"/>
      <c r="V413" s="1069"/>
      <c r="W413" s="1069"/>
    </row>
    <row r="414" spans="1:23" ht="12.75" customHeight="1">
      <c r="B414" s="375" t="s">
        <v>2405</v>
      </c>
      <c r="C414" s="431" t="s">
        <v>4561</v>
      </c>
      <c r="N414" s="375" t="s">
        <v>2405</v>
      </c>
      <c r="O414" s="2446"/>
      <c r="P414" s="536"/>
    </row>
    <row r="415" spans="1:23" ht="12" customHeight="1" thickBot="1">
      <c r="B415" s="1205" t="s">
        <v>3645</v>
      </c>
    </row>
    <row r="416" spans="1:23" s="42" customFormat="1" ht="21.75" customHeight="1" thickTop="1" thickBot="1">
      <c r="A416" s="3589" t="s">
        <v>4987</v>
      </c>
      <c r="B416" s="3590"/>
      <c r="C416" s="3590"/>
      <c r="D416" s="3590"/>
      <c r="E416" s="3590"/>
      <c r="F416" s="3590"/>
      <c r="G416" s="3590"/>
      <c r="H416" s="3590"/>
      <c r="I416" s="3590"/>
      <c r="J416" s="3590"/>
      <c r="K416" s="3590"/>
      <c r="L416" s="3590"/>
      <c r="M416" s="3590"/>
      <c r="N416" s="3590"/>
      <c r="O416" s="3590"/>
      <c r="P416" s="3591"/>
      <c r="Q416" s="1073" t="s">
        <v>1239</v>
      </c>
    </row>
    <row r="417" spans="1:19" s="102" customFormat="1" ht="11.25" customHeight="1" thickTop="1">
      <c r="A417" s="41"/>
      <c r="B417" s="504" t="s">
        <v>1841</v>
      </c>
      <c r="C417" s="98"/>
      <c r="D417" s="97"/>
      <c r="E417" s="1771"/>
      <c r="F417" s="1756"/>
      <c r="G417" s="1756"/>
      <c r="H417" s="1756"/>
      <c r="I417" s="1756"/>
      <c r="J417" s="1756"/>
      <c r="K417" s="1756"/>
      <c r="L417" s="1756"/>
      <c r="M417" s="1756"/>
      <c r="N417" s="93"/>
      <c r="O417" s="872"/>
      <c r="P417" s="1747"/>
      <c r="Q417" s="426"/>
    </row>
    <row r="418" spans="1:19" s="42" customFormat="1" ht="11.25" customHeight="1">
      <c r="A418" s="3258"/>
      <c r="B418" s="3259"/>
      <c r="C418" s="3259"/>
      <c r="D418" s="3259"/>
      <c r="E418" s="3259"/>
      <c r="F418" s="3259"/>
      <c r="G418" s="3259"/>
      <c r="H418" s="3259"/>
      <c r="I418" s="3259"/>
      <c r="J418" s="3259"/>
      <c r="K418" s="3259"/>
      <c r="L418" s="3259"/>
      <c r="M418" s="3259"/>
      <c r="N418" s="3259"/>
      <c r="O418" s="3259"/>
      <c r="P418" s="3260"/>
      <c r="Q418" s="445"/>
    </row>
    <row r="419" spans="1:19" s="42" customFormat="1" ht="3" customHeight="1" thickBot="1">
      <c r="A419" s="41"/>
      <c r="B419" s="41"/>
      <c r="C419" s="1751"/>
      <c r="D419" s="1751"/>
      <c r="E419" s="1751"/>
      <c r="F419" s="1751"/>
      <c r="G419" s="1751"/>
      <c r="H419" s="1751"/>
      <c r="I419" s="1751"/>
      <c r="J419" s="1751"/>
      <c r="K419" s="1751"/>
      <c r="L419" s="1751"/>
      <c r="M419" s="1751"/>
      <c r="N419" s="74"/>
      <c r="O419" s="70"/>
      <c r="P419" s="887"/>
    </row>
    <row r="420" spans="1:19" s="42" customFormat="1" ht="13.5" customHeight="1" thickBot="1">
      <c r="A420" s="152" t="s">
        <v>3918</v>
      </c>
      <c r="B420" s="105" t="s">
        <v>2681</v>
      </c>
      <c r="D420" s="39"/>
      <c r="G420" s="60" t="s">
        <v>3330</v>
      </c>
      <c r="J420" s="35"/>
      <c r="K420" s="35"/>
      <c r="L420" s="35"/>
      <c r="M420" s="1747">
        <v>2</v>
      </c>
      <c r="N420" s="463"/>
      <c r="O420" s="1135">
        <f>MIN($M420,O424+O431)</f>
        <v>0</v>
      </c>
      <c r="P420" s="1135">
        <f>MIN($M420,P424+P431)</f>
        <v>0</v>
      </c>
      <c r="Q420" s="109" t="s">
        <v>437</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3395</v>
      </c>
      <c r="D422" s="3144" t="s">
        <v>4691</v>
      </c>
      <c r="E422" s="3145"/>
      <c r="F422" s="3145"/>
      <c r="G422" s="3145"/>
      <c r="H422" s="3145"/>
      <c r="I422" s="3146"/>
      <c r="J422" s="391" t="s">
        <v>2779</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5" t="s">
        <v>1957</v>
      </c>
      <c r="B424" s="86" t="s">
        <v>3576</v>
      </c>
      <c r="C424" s="391"/>
      <c r="D424" s="391"/>
      <c r="E424" s="391"/>
      <c r="F424" s="391"/>
      <c r="G424" s="391"/>
      <c r="H424" s="391"/>
      <c r="I424" s="391"/>
      <c r="M424" s="413">
        <v>2</v>
      </c>
      <c r="N424" s="160" t="s">
        <v>1957</v>
      </c>
      <c r="O424" s="2484"/>
      <c r="P424" s="860"/>
      <c r="Q424" s="1020" t="str">
        <f>IF(OR($O424=$M424,$O424=0,$O424=""),"","*CHECK!*")</f>
        <v/>
      </c>
      <c r="R424" s="1087" t="s">
        <v>2667</v>
      </c>
    </row>
    <row r="425" spans="1:19" s="412" customFormat="1" ht="12" customHeight="1">
      <c r="A425" s="411"/>
      <c r="B425" s="3468" t="s">
        <v>4563</v>
      </c>
      <c r="C425" s="3468"/>
      <c r="D425" s="3468"/>
      <c r="E425" s="3468"/>
      <c r="F425" s="3468"/>
      <c r="G425" s="3468"/>
      <c r="H425" s="3468"/>
      <c r="I425" s="3468"/>
      <c r="J425" s="3468"/>
      <c r="K425" s="3468"/>
      <c r="L425" s="3468"/>
      <c r="M425" s="3596" t="s">
        <v>4692</v>
      </c>
      <c r="N425" s="3596"/>
      <c r="Q425" s="172"/>
    </row>
    <row r="426" spans="1:19" s="412" customFormat="1" ht="12" customHeight="1">
      <c r="B426" s="3468"/>
      <c r="C426" s="3468"/>
      <c r="D426" s="3468"/>
      <c r="E426" s="3468"/>
      <c r="F426" s="3468"/>
      <c r="G426" s="3468"/>
      <c r="H426" s="3468"/>
      <c r="I426" s="3468"/>
      <c r="J426" s="3468"/>
      <c r="K426" s="3468"/>
      <c r="L426" s="3468"/>
      <c r="M426" s="3596"/>
      <c r="N426" s="3596"/>
      <c r="O426" s="3600">
        <f>'Part VI-Revenues &amp; Expenses'!$O$111</f>
        <v>0</v>
      </c>
      <c r="P426" s="3601"/>
      <c r="Q426" s="172"/>
    </row>
    <row r="427" spans="1:19" s="412" customFormat="1" ht="12" customHeight="1">
      <c r="B427" s="3468"/>
      <c r="C427" s="3468"/>
      <c r="D427" s="3468"/>
      <c r="E427" s="3468"/>
      <c r="F427" s="3468"/>
      <c r="G427" s="3468"/>
      <c r="H427" s="3468"/>
      <c r="I427" s="3468"/>
      <c r="J427" s="3468"/>
      <c r="K427" s="3468"/>
      <c r="L427" s="3468"/>
      <c r="M427" s="1026" t="s">
        <v>2777</v>
      </c>
      <c r="N427" s="413"/>
      <c r="O427" s="3594">
        <f>'Part VI-Revenues &amp; Expenses'!$O$67</f>
        <v>84</v>
      </c>
      <c r="P427" s="3595"/>
      <c r="Q427" s="172"/>
    </row>
    <row r="428" spans="1:19" s="412" customFormat="1" ht="12" customHeight="1">
      <c r="B428" s="3597"/>
      <c r="C428" s="3597"/>
      <c r="D428" s="3597"/>
      <c r="E428" s="3597"/>
      <c r="F428" s="3597"/>
      <c r="G428" s="3597"/>
      <c r="H428" s="3597"/>
      <c r="I428" s="3597"/>
      <c r="J428" s="3597"/>
      <c r="K428" s="3597"/>
      <c r="L428" s="3597"/>
      <c r="M428" s="1567" t="s">
        <v>2778</v>
      </c>
      <c r="N428" s="413"/>
      <c r="O428" s="3592">
        <f>IF(O427=0,0,O426/O427)</f>
        <v>0</v>
      </c>
      <c r="P428" s="3593"/>
      <c r="Q428" s="172"/>
    </row>
    <row r="429" spans="1:19" s="42" customFormat="1" ht="66.75" customHeight="1">
      <c r="A429" s="525"/>
      <c r="B429" s="3482" t="s">
        <v>3993</v>
      </c>
      <c r="C429" s="3483"/>
      <c r="D429" s="3483"/>
      <c r="E429" s="3483"/>
      <c r="F429" s="3483"/>
      <c r="G429" s="3483"/>
      <c r="H429" s="3483"/>
      <c r="I429" s="3483"/>
      <c r="J429" s="3483"/>
      <c r="K429" s="3483"/>
      <c r="L429" s="3483"/>
      <c r="M429" s="3483"/>
      <c r="N429" s="3483"/>
      <c r="O429" s="3483"/>
      <c r="P429" s="3484"/>
      <c r="Q429" s="445" t="s">
        <v>1239</v>
      </c>
      <c r="R429" s="1073"/>
      <c r="S429" s="1073"/>
    </row>
    <row r="430" spans="1:19" s="412" customFormat="1" ht="1.5" customHeight="1">
      <c r="A430" s="584"/>
      <c r="B430" s="440"/>
      <c r="F430" s="434"/>
      <c r="G430" s="896"/>
      <c r="M430" s="413"/>
      <c r="N430" s="413"/>
      <c r="O430" s="413"/>
      <c r="P430" s="413"/>
      <c r="Q430" s="172"/>
    </row>
    <row r="431" spans="1:19" s="412" customFormat="1" ht="11.25" customHeight="1">
      <c r="A431" s="526" t="s">
        <v>3992</v>
      </c>
      <c r="B431" s="928" t="s">
        <v>3300</v>
      </c>
      <c r="C431" s="139"/>
      <c r="D431" s="871"/>
      <c r="H431" s="391"/>
      <c r="M431" s="413">
        <v>2</v>
      </c>
      <c r="N431" s="160" t="s">
        <v>1959</v>
      </c>
      <c r="O431" s="2484"/>
      <c r="P431" s="860"/>
      <c r="Q431" s="1020" t="str">
        <f>IF(OR($O431=$M431,$O431=0,$O431=""),"","*CHECK!*")</f>
        <v/>
      </c>
      <c r="R431" s="1087" t="s">
        <v>2667</v>
      </c>
    </row>
    <row r="432" spans="1:19" s="412" customFormat="1" ht="11.25" customHeight="1">
      <c r="A432" s="526"/>
      <c r="B432" s="3257" t="s">
        <v>4562</v>
      </c>
      <c r="C432" s="3257"/>
      <c r="D432" s="3257"/>
      <c r="E432" s="3257"/>
      <c r="F432" s="3257"/>
      <c r="G432" s="3257"/>
      <c r="H432" s="3257"/>
      <c r="I432" s="3257"/>
      <c r="J432" s="3257"/>
      <c r="K432" s="3257"/>
      <c r="L432" s="3257"/>
      <c r="M432" s="1640" t="s">
        <v>4564</v>
      </c>
      <c r="O432" s="3663">
        <f>'Part VI-Revenues &amp; Expenses'!$O$113</f>
        <v>0</v>
      </c>
      <c r="P432" s="3664"/>
      <c r="Q432" s="172"/>
    </row>
    <row r="433" spans="1:18" s="412" customFormat="1" ht="11.25" customHeight="1">
      <c r="A433" s="526"/>
      <c r="B433" s="3257"/>
      <c r="C433" s="3257"/>
      <c r="D433" s="3257"/>
      <c r="E433" s="3257"/>
      <c r="F433" s="3257"/>
      <c r="G433" s="3257"/>
      <c r="H433" s="3257"/>
      <c r="I433" s="3257"/>
      <c r="J433" s="3257"/>
      <c r="K433" s="3257"/>
      <c r="L433" s="3257"/>
      <c r="M433" s="1226" t="s">
        <v>2777</v>
      </c>
      <c r="N433" s="413"/>
      <c r="O433" s="3594">
        <f>'Part VI-Revenues &amp; Expenses'!$O$67</f>
        <v>84</v>
      </c>
      <c r="P433" s="3595"/>
      <c r="Q433" s="172"/>
    </row>
    <row r="434" spans="1:18" s="412" customFormat="1" ht="11.25" customHeight="1">
      <c r="A434" s="526"/>
      <c r="B434" s="3257"/>
      <c r="C434" s="3257"/>
      <c r="D434" s="3257"/>
      <c r="E434" s="3257"/>
      <c r="F434" s="3257"/>
      <c r="G434" s="3257"/>
      <c r="H434" s="3257"/>
      <c r="I434" s="3257"/>
      <c r="J434" s="3257"/>
      <c r="K434" s="3257"/>
      <c r="L434" s="3257"/>
      <c r="M434" s="1567" t="s">
        <v>2778</v>
      </c>
      <c r="N434" s="413"/>
      <c r="O434" s="3592">
        <f>IF(O433=0,0,L420/O433)</f>
        <v>0</v>
      </c>
      <c r="P434" s="3593"/>
      <c r="Q434" s="172"/>
    </row>
    <row r="435" spans="1:18" s="42" customFormat="1" ht="11.25" customHeight="1" thickBot="1">
      <c r="A435" s="41"/>
      <c r="B435" s="1205" t="s">
        <v>3645</v>
      </c>
      <c r="C435" s="41"/>
      <c r="D435" s="47"/>
      <c r="E435" s="47"/>
      <c r="F435" s="47"/>
      <c r="G435" s="47"/>
      <c r="H435" s="35"/>
      <c r="I435" s="35"/>
      <c r="J435" s="35"/>
      <c r="K435" s="35"/>
      <c r="M435" s="45"/>
      <c r="N435" s="61"/>
      <c r="O435" s="2"/>
      <c r="P435" s="1750"/>
    </row>
    <row r="436" spans="1:18" s="42" customFormat="1" ht="21.75" customHeight="1" thickTop="1" thickBot="1">
      <c r="A436" s="3589" t="s">
        <v>4977</v>
      </c>
      <c r="B436" s="3590"/>
      <c r="C436" s="3590"/>
      <c r="D436" s="3590"/>
      <c r="E436" s="3590"/>
      <c r="F436" s="3590"/>
      <c r="G436" s="3590"/>
      <c r="H436" s="3590"/>
      <c r="I436" s="3590"/>
      <c r="J436" s="3590"/>
      <c r="K436" s="3590"/>
      <c r="L436" s="3590"/>
      <c r="M436" s="3590"/>
      <c r="N436" s="3590"/>
      <c r="O436" s="3590"/>
      <c r="P436" s="3591"/>
      <c r="Q436" s="1073" t="s">
        <v>1239</v>
      </c>
      <c r="R436" s="446"/>
    </row>
    <row r="437" spans="1:18" s="42" customFormat="1" ht="10.5" customHeight="1" thickTop="1">
      <c r="B437" s="85" t="s">
        <v>1841</v>
      </c>
      <c r="C437" s="98"/>
      <c r="D437" s="85"/>
      <c r="E437" s="99"/>
      <c r="F437" s="1751"/>
      <c r="G437" s="1751"/>
      <c r="H437" s="1751"/>
      <c r="I437" s="1751"/>
      <c r="J437" s="1751"/>
      <c r="K437" s="1751"/>
      <c r="L437" s="1751"/>
      <c r="M437" s="1751"/>
      <c r="N437" s="74"/>
      <c r="O437" s="70"/>
      <c r="P437" s="1747"/>
      <c r="Q437" s="426"/>
    </row>
    <row r="438" spans="1:18" s="42" customFormat="1" ht="11.25" customHeight="1">
      <c r="A438" s="3258"/>
      <c r="B438" s="3259"/>
      <c r="C438" s="3259"/>
      <c r="D438" s="3259"/>
      <c r="E438" s="3259"/>
      <c r="F438" s="3259"/>
      <c r="G438" s="3259"/>
      <c r="H438" s="3259"/>
      <c r="I438" s="3259"/>
      <c r="J438" s="3259"/>
      <c r="K438" s="3259"/>
      <c r="L438" s="3259"/>
      <c r="M438" s="3259"/>
      <c r="N438" s="3259"/>
      <c r="O438" s="3259"/>
      <c r="P438" s="3260"/>
      <c r="Q438" s="445"/>
    </row>
    <row r="439" spans="1:18" s="42" customFormat="1" ht="3" customHeight="1" thickBot="1">
      <c r="A439" s="41"/>
      <c r="B439" s="41"/>
      <c r="C439" s="1751"/>
      <c r="D439" s="1751"/>
      <c r="E439" s="1751"/>
      <c r="F439" s="1751"/>
      <c r="G439" s="1751"/>
      <c r="H439" s="1751"/>
      <c r="I439" s="1751"/>
      <c r="J439" s="1751"/>
      <c r="K439" s="1751"/>
      <c r="L439" s="1751"/>
      <c r="M439" s="1751"/>
      <c r="N439" s="74"/>
      <c r="O439" s="70"/>
      <c r="P439" s="887"/>
    </row>
    <row r="440" spans="1:18" s="102" customFormat="1" ht="11.25" customHeight="1" thickBot="1">
      <c r="A440" s="153" t="s">
        <v>3916</v>
      </c>
      <c r="B440" s="105" t="s">
        <v>1652</v>
      </c>
      <c r="D440" s="44"/>
      <c r="E440" s="44"/>
      <c r="F440" s="38"/>
      <c r="G440" s="35"/>
      <c r="I440" s="35"/>
      <c r="J440" s="35"/>
      <c r="K440" s="35"/>
      <c r="L440" s="376" t="str">
        <f>IF(OR($O440=$M440,$O440&lt;=0,$O440=""),"","* * Check Score! * *")</f>
        <v/>
      </c>
      <c r="M440" s="1747">
        <v>10</v>
      </c>
      <c r="N440" s="5"/>
      <c r="O440" s="1089">
        <f>MIN($M$440,O442-O443+O444)</f>
        <v>10</v>
      </c>
      <c r="P440" s="1089">
        <f>MIN($M$440,P442-P443+P444)</f>
        <v>10</v>
      </c>
      <c r="Q440" s="109" t="s">
        <v>437</v>
      </c>
    </row>
    <row r="441" spans="1:18" s="102" customFormat="1" ht="1.5" customHeight="1">
      <c r="A441" s="153"/>
      <c r="B441" s="105"/>
      <c r="D441" s="44"/>
      <c r="E441" s="44"/>
      <c r="F441" s="38"/>
      <c r="G441" s="35"/>
      <c r="I441" s="35"/>
      <c r="J441" s="35"/>
      <c r="K441" s="35"/>
      <c r="L441" s="376"/>
      <c r="M441" s="1747"/>
      <c r="N441" s="5"/>
      <c r="O441" s="5"/>
      <c r="P441" s="5"/>
      <c r="Q441" s="109"/>
    </row>
    <row r="442" spans="1:18" s="102" customFormat="1" ht="10.5" customHeight="1">
      <c r="A442" s="153"/>
      <c r="B442" s="86" t="s">
        <v>3558</v>
      </c>
      <c r="D442" s="44"/>
      <c r="E442" s="44"/>
      <c r="F442" s="38"/>
      <c r="G442" s="35"/>
      <c r="I442" s="35"/>
      <c r="J442" s="35"/>
      <c r="K442" s="35"/>
      <c r="L442" s="376"/>
      <c r="M442" s="1747"/>
      <c r="N442" s="5"/>
      <c r="O442" s="1146">
        <v>10</v>
      </c>
      <c r="P442" s="1146">
        <v>10</v>
      </c>
      <c r="Q442" s="109"/>
    </row>
    <row r="443" spans="1:18" s="102" customFormat="1" ht="10.5" customHeight="1">
      <c r="A443" s="153"/>
      <c r="B443" s="86" t="s">
        <v>3559</v>
      </c>
      <c r="D443" s="44"/>
      <c r="E443" s="44"/>
      <c r="F443" s="38"/>
      <c r="G443" s="35"/>
      <c r="I443" s="35"/>
      <c r="J443" s="35"/>
      <c r="K443" s="35"/>
      <c r="L443" s="376"/>
      <c r="M443" s="1747"/>
      <c r="N443" s="5"/>
      <c r="O443" s="2525"/>
      <c r="P443" s="1139"/>
      <c r="Q443" s="109"/>
    </row>
    <row r="444" spans="1:18" s="102" customFormat="1" ht="10.5" customHeight="1">
      <c r="A444" s="153"/>
      <c r="B444" s="86" t="s">
        <v>3560</v>
      </c>
      <c r="D444" s="44"/>
      <c r="E444" s="44"/>
      <c r="F444" s="38"/>
      <c r="G444" s="35"/>
      <c r="I444" s="35"/>
      <c r="J444" s="35"/>
      <c r="K444" s="35"/>
      <c r="L444" s="376"/>
      <c r="M444" s="1747"/>
      <c r="N444" s="5"/>
      <c r="O444" s="2526"/>
      <c r="P444" s="530"/>
      <c r="Q444" s="109"/>
    </row>
    <row r="445" spans="1:18" s="102" customFormat="1" ht="10.5" customHeight="1">
      <c r="A445" s="66"/>
      <c r="B445" s="66" t="s">
        <v>1841</v>
      </c>
      <c r="C445" s="49"/>
      <c r="D445" s="66"/>
      <c r="E445" s="1756"/>
      <c r="F445" s="1756"/>
      <c r="G445" s="1756"/>
      <c r="H445" s="1756"/>
      <c r="I445" s="1756"/>
      <c r="J445" s="1756"/>
      <c r="K445" s="1756"/>
      <c r="L445" s="1756"/>
      <c r="M445" s="1756"/>
      <c r="N445" s="93"/>
      <c r="O445" s="872"/>
      <c r="P445" s="1747"/>
    </row>
    <row r="446" spans="1:18" s="42" customFormat="1" ht="11.25" customHeight="1">
      <c r="A446" s="3258"/>
      <c r="B446" s="3259"/>
      <c r="C446" s="3259"/>
      <c r="D446" s="3259"/>
      <c r="E446" s="3259"/>
      <c r="F446" s="3259"/>
      <c r="G446" s="3259"/>
      <c r="H446" s="3259"/>
      <c r="I446" s="3259"/>
      <c r="J446" s="3259"/>
      <c r="K446" s="3259"/>
      <c r="L446" s="3259"/>
      <c r="M446" s="3259"/>
      <c r="N446" s="3259"/>
      <c r="O446" s="3259"/>
      <c r="P446" s="3260"/>
      <c r="Q446" s="445"/>
      <c r="R446" s="446"/>
    </row>
    <row r="447" spans="1:18" s="42" customFormat="1" ht="6" customHeight="1" thickBot="1">
      <c r="A447" s="153"/>
      <c r="B447" s="41"/>
      <c r="C447" s="1751"/>
      <c r="D447" s="1751"/>
      <c r="E447" s="1751"/>
      <c r="F447" s="1751"/>
      <c r="G447" s="1751"/>
      <c r="H447" s="1751"/>
      <c r="I447" s="1751"/>
      <c r="J447" s="1751"/>
      <c r="K447" s="1751"/>
      <c r="L447" s="1751"/>
      <c r="M447" s="1751"/>
      <c r="N447" s="74"/>
      <c r="O447" s="70"/>
      <c r="P447" s="887"/>
    </row>
    <row r="448" spans="1:18" s="41" customFormat="1" ht="12.75" customHeight="1" thickTop="1" thickBot="1">
      <c r="A448" s="153"/>
      <c r="B448" s="67"/>
      <c r="C448" s="49"/>
      <c r="D448" s="34"/>
      <c r="E448" s="34"/>
      <c r="F448" s="53"/>
      <c r="G448" s="154" t="s">
        <v>423</v>
      </c>
      <c r="I448" s="155"/>
      <c r="J448" s="155"/>
      <c r="K448" s="155"/>
      <c r="L448" s="102"/>
      <c r="M448" s="442">
        <f>M22+M47+M61+M71+M107+M153+M189+M228+M277+M298+M306+M329+M342+M359+M369+M384+M420+M440</f>
        <v>92</v>
      </c>
      <c r="N448" s="156"/>
      <c r="O448" s="1134">
        <f>-O8+O22+O47+O61+O71+O107+O153+O189+O277+O298+O306+O329+O359+O369+O384+O420+O440</f>
        <v>56</v>
      </c>
      <c r="P448" s="1134">
        <f>-P8+P22+P47+P61+P71+P107+P153+P189+P228+P277+P298+P306+P329+P342+P359+P369+P384+P420+P440</f>
        <v>20</v>
      </c>
    </row>
    <row r="449" spans="1:19" s="41" customFormat="1" ht="11.25" customHeight="1" thickTop="1">
      <c r="A449" s="53"/>
      <c r="B449" s="67"/>
      <c r="C449" s="53"/>
      <c r="D449" s="34"/>
      <c r="E449" s="34"/>
      <c r="F449" s="69"/>
      <c r="G449" s="69"/>
      <c r="H449" s="165" t="s">
        <v>3985</v>
      </c>
      <c r="J449" s="68"/>
      <c r="K449" s="68"/>
      <c r="L449" s="42"/>
      <c r="M449" s="34"/>
      <c r="N449" s="1747"/>
      <c r="O449" s="1747"/>
      <c r="P449" s="461">
        <f>P228</f>
        <v>0</v>
      </c>
    </row>
    <row r="450" spans="1:19" s="41" customFormat="1" ht="11.25" customHeight="1">
      <c r="A450" s="53"/>
      <c r="B450" s="67"/>
      <c r="C450" s="53"/>
      <c r="D450" s="34"/>
      <c r="E450" s="34"/>
      <c r="F450" s="69"/>
      <c r="G450" s="69"/>
      <c r="H450" s="165" t="s">
        <v>3986</v>
      </c>
      <c r="J450" s="68"/>
      <c r="K450" s="68"/>
      <c r="L450" s="42"/>
      <c r="M450" s="34"/>
      <c r="N450" s="1747"/>
      <c r="O450" s="461"/>
      <c r="P450" s="461">
        <f>P342</f>
        <v>0</v>
      </c>
    </row>
    <row r="451" spans="1:19" s="42" customFormat="1" ht="11.25" customHeight="1">
      <c r="A451" s="41"/>
      <c r="D451" s="38"/>
      <c r="E451" s="35"/>
      <c r="F451" s="887"/>
      <c r="H451" s="165" t="s">
        <v>3990</v>
      </c>
      <c r="I451" s="887"/>
      <c r="J451" s="897"/>
      <c r="K451" s="897"/>
      <c r="L451" s="897"/>
      <c r="M451" s="59"/>
      <c r="N451" s="887"/>
      <c r="O451" s="1750"/>
      <c r="P451" s="1146">
        <f>P448-P449-P450</f>
        <v>20</v>
      </c>
    </row>
    <row r="452" spans="1:19" s="158" customFormat="1" ht="2.25" customHeight="1">
      <c r="A452" s="53"/>
      <c r="B452" s="67"/>
      <c r="C452" s="53"/>
      <c r="D452" s="147"/>
      <c r="E452" s="147"/>
      <c r="F452" s="39"/>
      <c r="G452" s="39"/>
      <c r="H452" s="69"/>
      <c r="I452" s="69"/>
      <c r="J452" s="479"/>
      <c r="K452" s="479"/>
      <c r="L452" s="42"/>
      <c r="M452" s="147"/>
      <c r="N452" s="1747"/>
      <c r="O452" s="1747"/>
      <c r="P452" s="2"/>
    </row>
    <row r="453" spans="1:19" s="42" customFormat="1" ht="22.5" customHeight="1">
      <c r="A453" s="3662" t="s">
        <v>3587</v>
      </c>
      <c r="B453" s="3662"/>
      <c r="C453" s="3662"/>
      <c r="D453" s="3662"/>
      <c r="E453" s="3662"/>
      <c r="F453" s="3662"/>
      <c r="G453" s="3662"/>
      <c r="H453" s="3662"/>
      <c r="I453" s="3662"/>
      <c r="J453" s="3662"/>
      <c r="K453" s="3662"/>
      <c r="L453" s="3662"/>
      <c r="M453" s="3662"/>
      <c r="N453" s="3662"/>
      <c r="O453" s="3662"/>
      <c r="P453" s="3662"/>
    </row>
    <row r="454" spans="1:19" s="42" customFormat="1" ht="84" customHeight="1">
      <c r="A454" s="3302"/>
      <c r="B454" s="3303"/>
      <c r="C454" s="3303"/>
      <c r="D454" s="3303"/>
      <c r="E454" s="3303"/>
      <c r="F454" s="3303"/>
      <c r="G454" s="3303"/>
      <c r="H454" s="3303"/>
      <c r="I454" s="3303"/>
      <c r="J454" s="3303"/>
      <c r="K454" s="3303"/>
      <c r="L454" s="3303"/>
      <c r="M454" s="3303"/>
      <c r="N454" s="3303"/>
      <c r="O454" s="3303"/>
      <c r="P454" s="3304"/>
      <c r="Q454" s="445" t="s">
        <v>1239</v>
      </c>
      <c r="R454" s="446"/>
    </row>
    <row r="455" spans="1:19" s="158" customFormat="1">
      <c r="N455" s="120"/>
      <c r="O455" s="1743"/>
      <c r="P455" s="1743"/>
    </row>
    <row r="456" spans="1:19" s="158" customFormat="1">
      <c r="N456" s="120"/>
      <c r="O456" s="1743"/>
      <c r="P456" s="1743"/>
      <c r="Q456" s="482"/>
      <c r="R456" s="482"/>
      <c r="S456" s="482"/>
    </row>
    <row r="457" spans="1:19" s="158" customFormat="1">
      <c r="N457" s="120"/>
      <c r="O457" s="1743"/>
      <c r="P457" s="1743"/>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1630</v>
      </c>
      <c r="D459" s="451"/>
      <c r="E459" s="451"/>
      <c r="F459" s="451"/>
      <c r="G459" s="451"/>
      <c r="H459" s="451"/>
      <c r="I459" s="451"/>
      <c r="J459" s="451" t="s">
        <v>1001</v>
      </c>
      <c r="K459" s="451"/>
      <c r="L459" s="451"/>
      <c r="M459" s="451"/>
      <c r="N459" s="452"/>
      <c r="O459" s="1192"/>
      <c r="P459" s="1192"/>
      <c r="Q459" s="1120"/>
    </row>
    <row r="460" spans="1:19" s="482" customFormat="1">
      <c r="C460" s="451" t="s">
        <v>2063</v>
      </c>
      <c r="D460" s="451"/>
      <c r="E460" s="451"/>
      <c r="F460" s="451"/>
      <c r="G460" s="451"/>
      <c r="H460" s="451"/>
      <c r="I460" s="451"/>
      <c r="J460" s="451" t="s">
        <v>1749</v>
      </c>
      <c r="K460" s="451"/>
      <c r="L460" s="451"/>
      <c r="M460" s="451"/>
      <c r="N460" s="452"/>
      <c r="O460" s="1192"/>
      <c r="P460" s="1192"/>
      <c r="Q460" s="1120"/>
    </row>
    <row r="461" spans="1:19" s="482" customFormat="1">
      <c r="C461" s="451" t="s">
        <v>2511</v>
      </c>
      <c r="D461" s="451"/>
      <c r="E461" s="451"/>
      <c r="F461" s="451"/>
      <c r="G461" s="451"/>
      <c r="H461" s="451"/>
      <c r="I461" s="451"/>
      <c r="J461" s="1193" t="s">
        <v>227</v>
      </c>
      <c r="K461" s="451"/>
      <c r="L461" s="451"/>
      <c r="M461" s="451"/>
      <c r="N461" s="452"/>
      <c r="O461" s="1192"/>
      <c r="P461" s="1192"/>
      <c r="Q461" s="1120"/>
    </row>
    <row r="462" spans="1:19" s="482" customFormat="1">
      <c r="C462" s="451" t="s">
        <v>2064</v>
      </c>
      <c r="D462" s="451"/>
      <c r="E462" s="451"/>
      <c r="F462" s="451"/>
      <c r="G462" s="451"/>
      <c r="H462" s="451"/>
      <c r="I462" s="451"/>
      <c r="J462" s="1193" t="s">
        <v>1632</v>
      </c>
      <c r="K462" s="451"/>
      <c r="L462" s="451"/>
      <c r="M462" s="451"/>
      <c r="N462" s="452"/>
      <c r="O462" s="1192"/>
      <c r="P462" s="1192"/>
      <c r="Q462" s="1120"/>
    </row>
    <row r="463" spans="1:19" s="482" customFormat="1">
      <c r="C463" s="451" t="s">
        <v>2065</v>
      </c>
      <c r="D463" s="451"/>
      <c r="E463" s="451"/>
      <c r="F463" s="451"/>
      <c r="G463" s="451"/>
      <c r="H463" s="451"/>
      <c r="I463" s="451"/>
      <c r="J463" s="1193" t="s">
        <v>1633</v>
      </c>
      <c r="K463" s="451"/>
      <c r="L463" s="451"/>
      <c r="M463" s="451"/>
      <c r="N463" s="452"/>
      <c r="O463" s="1192"/>
      <c r="P463" s="1192"/>
      <c r="Q463" s="1120"/>
    </row>
    <row r="464" spans="1:19" s="482" customFormat="1">
      <c r="C464" s="1194" t="s">
        <v>2066</v>
      </c>
      <c r="D464" s="451"/>
      <c r="E464" s="451"/>
      <c r="F464" s="451"/>
      <c r="G464" s="451"/>
      <c r="H464" s="451"/>
      <c r="I464" s="451"/>
      <c r="J464" s="1193" t="s">
        <v>2472</v>
      </c>
      <c r="K464" s="451"/>
      <c r="L464" s="451"/>
      <c r="M464" s="451"/>
      <c r="N464" s="452"/>
      <c r="O464" s="1192"/>
      <c r="P464" s="1192"/>
      <c r="Q464" s="1120"/>
    </row>
    <row r="465" spans="3:17" s="482" customFormat="1">
      <c r="C465" s="1194" t="s">
        <v>2067</v>
      </c>
      <c r="D465" s="451"/>
      <c r="E465" s="451"/>
      <c r="F465" s="451"/>
      <c r="G465" s="451"/>
      <c r="H465" s="451"/>
      <c r="I465" s="451"/>
      <c r="J465" s="1193" t="s">
        <v>1634</v>
      </c>
      <c r="K465" s="451"/>
      <c r="L465" s="451"/>
      <c r="M465" s="451"/>
      <c r="N465" s="452"/>
      <c r="O465" s="1192"/>
      <c r="P465" s="1192"/>
      <c r="Q465" s="1120"/>
    </row>
    <row r="466" spans="3:17" s="482" customFormat="1">
      <c r="C466" s="1194"/>
      <c r="D466" s="451"/>
      <c r="E466" s="451"/>
      <c r="F466" s="451"/>
      <c r="G466" s="451"/>
      <c r="H466" s="451"/>
      <c r="I466" s="451"/>
      <c r="J466" s="1193" t="s">
        <v>1635</v>
      </c>
      <c r="K466" s="451"/>
      <c r="L466" s="451"/>
      <c r="M466" s="451"/>
      <c r="N466" s="452"/>
      <c r="O466" s="1192"/>
      <c r="P466" s="1192"/>
      <c r="Q466" s="1120"/>
    </row>
    <row r="467" spans="3:17" s="482" customFormat="1">
      <c r="C467" s="451" t="s">
        <v>1749</v>
      </c>
      <c r="D467" s="451"/>
      <c r="E467" s="451"/>
      <c r="F467" s="451"/>
      <c r="G467" s="451"/>
      <c r="H467" s="451"/>
      <c r="I467" s="451"/>
      <c r="J467" s="1193" t="s">
        <v>1636</v>
      </c>
      <c r="K467" s="451"/>
      <c r="L467" s="451"/>
      <c r="M467" s="451"/>
      <c r="N467" s="452"/>
      <c r="O467" s="1192"/>
      <c r="P467" s="1192"/>
      <c r="Q467" s="1120"/>
    </row>
    <row r="468" spans="3:17" s="482" customFormat="1">
      <c r="C468" s="1121" t="s">
        <v>1375</v>
      </c>
      <c r="D468" s="451"/>
      <c r="E468" s="451"/>
      <c r="F468" s="451"/>
      <c r="G468" s="451"/>
      <c r="H468" s="451"/>
      <c r="I468" s="451"/>
      <c r="J468" s="1193" t="s">
        <v>1637</v>
      </c>
      <c r="K468" s="451"/>
      <c r="L468" s="451"/>
      <c r="M468" s="451"/>
      <c r="N468" s="452"/>
      <c r="O468" s="1192"/>
      <c r="P468" s="1192"/>
      <c r="Q468" s="1120"/>
    </row>
    <row r="469" spans="3:17" s="482" customFormat="1">
      <c r="C469" s="1121" t="s">
        <v>1376</v>
      </c>
      <c r="D469" s="451"/>
      <c r="E469" s="451"/>
      <c r="F469" s="451"/>
      <c r="G469" s="451"/>
      <c r="H469" s="451"/>
      <c r="I469" s="451"/>
      <c r="J469" s="1193" t="s">
        <v>1638</v>
      </c>
      <c r="K469" s="451"/>
      <c r="L469" s="451"/>
      <c r="M469" s="451"/>
      <c r="N469" s="452"/>
      <c r="O469" s="1192"/>
      <c r="P469" s="1192"/>
      <c r="Q469" s="1120"/>
    </row>
    <row r="470" spans="3:17" s="482" customFormat="1">
      <c r="C470" s="1195" t="s">
        <v>2106</v>
      </c>
      <c r="D470" s="451"/>
      <c r="E470" s="451"/>
      <c r="F470" s="451"/>
      <c r="G470" s="451"/>
      <c r="H470" s="451"/>
      <c r="I470" s="451"/>
      <c r="J470" s="1193" t="s">
        <v>1639</v>
      </c>
      <c r="K470" s="451"/>
      <c r="L470" s="451"/>
      <c r="M470" s="451"/>
      <c r="N470" s="452"/>
      <c r="O470" s="1192"/>
      <c r="P470" s="1192"/>
      <c r="Q470" s="1120"/>
    </row>
    <row r="471" spans="3:17" s="482" customFormat="1">
      <c r="C471" s="1195" t="s">
        <v>1372</v>
      </c>
      <c r="D471" s="451"/>
      <c r="E471" s="451"/>
      <c r="F471" s="451"/>
      <c r="G471" s="451"/>
      <c r="H471" s="451"/>
      <c r="I471" s="451"/>
      <c r="J471" s="1193" t="s">
        <v>581</v>
      </c>
      <c r="K471" s="451"/>
      <c r="L471" s="451"/>
      <c r="M471" s="451"/>
      <c r="N471" s="452"/>
      <c r="O471" s="1192"/>
      <c r="P471" s="1192"/>
      <c r="Q471" s="1120"/>
    </row>
    <row r="472" spans="3:17" s="482" customFormat="1">
      <c r="C472" s="1195" t="s">
        <v>1373</v>
      </c>
      <c r="D472" s="451"/>
      <c r="E472" s="451"/>
      <c r="F472" s="451"/>
      <c r="G472" s="451"/>
      <c r="H472" s="451"/>
      <c r="I472" s="451"/>
      <c r="J472" s="1193" t="s">
        <v>1640</v>
      </c>
      <c r="K472" s="451"/>
      <c r="L472" s="451"/>
      <c r="M472" s="451"/>
      <c r="N472" s="452"/>
      <c r="O472" s="1192"/>
      <c r="P472" s="1192"/>
      <c r="Q472" s="1120"/>
    </row>
    <row r="473" spans="3:17" s="482" customFormat="1">
      <c r="C473" s="1121" t="s">
        <v>2101</v>
      </c>
      <c r="D473" s="451"/>
      <c r="E473" s="451"/>
      <c r="F473" s="451"/>
      <c r="G473" s="451"/>
      <c r="H473" s="451"/>
      <c r="I473" s="451"/>
      <c r="J473" s="1193" t="s">
        <v>1641</v>
      </c>
      <c r="K473" s="451"/>
      <c r="L473" s="451"/>
      <c r="M473" s="451"/>
      <c r="N473" s="452"/>
      <c r="O473" s="1192"/>
      <c r="P473" s="1192"/>
      <c r="Q473" s="1120"/>
    </row>
    <row r="474" spans="3:17" s="482" customFormat="1">
      <c r="C474" s="1121" t="s">
        <v>2102</v>
      </c>
      <c r="D474" s="451"/>
      <c r="E474" s="451"/>
      <c r="F474" s="451"/>
      <c r="G474" s="451"/>
      <c r="H474" s="451"/>
      <c r="I474" s="451"/>
      <c r="J474" s="1193" t="s">
        <v>1642</v>
      </c>
      <c r="K474" s="451"/>
      <c r="L474" s="451"/>
      <c r="M474" s="451"/>
      <c r="N474" s="452"/>
      <c r="O474" s="1192"/>
      <c r="P474" s="1192"/>
      <c r="Q474" s="1120"/>
    </row>
    <row r="475" spans="3:17" s="482" customFormat="1">
      <c r="C475" s="1121" t="s">
        <v>2103</v>
      </c>
      <c r="D475" s="451"/>
      <c r="E475" s="451"/>
      <c r="F475" s="451"/>
      <c r="G475" s="451"/>
      <c r="H475" s="451"/>
      <c r="I475" s="451"/>
      <c r="J475" s="1193" t="s">
        <v>33</v>
      </c>
      <c r="K475" s="451"/>
      <c r="L475" s="451"/>
      <c r="M475" s="451"/>
      <c r="N475" s="452"/>
      <c r="O475" s="1192"/>
      <c r="P475" s="1192"/>
      <c r="Q475" s="1120"/>
    </row>
    <row r="476" spans="3:17" s="482" customFormat="1">
      <c r="C476" s="1121" t="s">
        <v>2104</v>
      </c>
      <c r="D476" s="451"/>
      <c r="E476" s="451"/>
      <c r="F476" s="451"/>
      <c r="G476" s="451"/>
      <c r="H476" s="451"/>
      <c r="I476" s="451"/>
      <c r="J476" s="451"/>
      <c r="K476" s="451"/>
      <c r="L476" s="451"/>
      <c r="M476" s="451"/>
      <c r="N476" s="452"/>
      <c r="O476" s="1192"/>
      <c r="P476" s="1192"/>
      <c r="Q476" s="1120"/>
    </row>
    <row r="477" spans="3:17" s="482" customFormat="1">
      <c r="C477" s="1121" t="s">
        <v>2105</v>
      </c>
      <c r="D477" s="451"/>
      <c r="E477" s="451"/>
      <c r="F477" s="451"/>
      <c r="G477" s="451"/>
      <c r="H477" s="451"/>
      <c r="I477" s="451"/>
      <c r="J477" s="1196" t="s">
        <v>3350</v>
      </c>
      <c r="K477" s="451"/>
      <c r="L477" s="451"/>
      <c r="M477" s="451"/>
      <c r="N477" s="452"/>
      <c r="O477" s="1196" t="s">
        <v>3657</v>
      </c>
      <c r="P477" s="1192"/>
      <c r="Q477" s="1120"/>
    </row>
    <row r="478" spans="3:17" s="482" customFormat="1">
      <c r="C478" s="1121" t="s">
        <v>1374</v>
      </c>
      <c r="D478" s="451"/>
      <c r="E478" s="451"/>
      <c r="F478" s="451"/>
      <c r="G478" s="451"/>
      <c r="H478" s="451"/>
      <c r="I478" s="451"/>
      <c r="J478" s="1193" t="s">
        <v>3351</v>
      </c>
      <c r="K478" s="451"/>
      <c r="L478" s="451"/>
      <c r="M478" s="451"/>
      <c r="N478" s="452"/>
      <c r="O478" s="1192"/>
      <c r="P478" s="1192"/>
      <c r="Q478" s="1120"/>
    </row>
    <row r="479" spans="3:17" s="482" customFormat="1">
      <c r="C479" s="1121" t="s">
        <v>2253</v>
      </c>
      <c r="D479" s="89"/>
      <c r="E479" s="89"/>
      <c r="F479" s="451"/>
      <c r="G479" s="451"/>
      <c r="H479" s="451"/>
      <c r="I479" s="451"/>
      <c r="J479" s="451" t="s">
        <v>3335</v>
      </c>
      <c r="K479" s="451"/>
      <c r="L479" s="89"/>
      <c r="M479" s="451"/>
      <c r="N479" s="452"/>
      <c r="O479" s="1192">
        <v>2</v>
      </c>
      <c r="P479" s="1192"/>
      <c r="Q479" s="1120"/>
    </row>
    <row r="480" spans="3:17" s="482" customFormat="1">
      <c r="C480" s="451"/>
      <c r="D480" s="89"/>
      <c r="E480" s="89"/>
      <c r="F480" s="451"/>
      <c r="G480" s="451"/>
      <c r="H480" s="451"/>
      <c r="I480" s="451"/>
      <c r="J480" s="451" t="s">
        <v>3336</v>
      </c>
      <c r="K480" s="451"/>
      <c r="L480" s="89"/>
      <c r="M480" s="451"/>
      <c r="N480" s="452"/>
      <c r="O480" s="1192">
        <v>2</v>
      </c>
      <c r="P480" s="1192"/>
      <c r="Q480" s="1120"/>
    </row>
    <row r="481" spans="1:17" s="482" customFormat="1">
      <c r="C481" s="451"/>
      <c r="D481" s="89"/>
      <c r="E481" s="89"/>
      <c r="F481" s="451"/>
      <c r="G481" s="451"/>
      <c r="H481" s="451"/>
      <c r="I481" s="451"/>
      <c r="J481" s="451" t="s">
        <v>3337</v>
      </c>
      <c r="K481" s="451"/>
      <c r="L481" s="89"/>
      <c r="M481" s="451"/>
      <c r="N481" s="452"/>
      <c r="O481" s="1192">
        <v>2</v>
      </c>
      <c r="P481" s="1192"/>
      <c r="Q481" s="1120"/>
    </row>
    <row r="482" spans="1:17" s="482" customFormat="1">
      <c r="C482" s="451" t="s">
        <v>2740</v>
      </c>
      <c r="D482" s="89"/>
      <c r="E482" s="89"/>
      <c r="F482" s="451"/>
      <c r="G482" s="1197" t="s">
        <v>1485</v>
      </c>
      <c r="H482" s="1198"/>
      <c r="I482" s="1197"/>
      <c r="J482" s="451" t="s">
        <v>3338</v>
      </c>
      <c r="K482" s="451"/>
      <c r="L482" s="591"/>
      <c r="M482" s="451"/>
      <c r="N482" s="452"/>
      <c r="O482" s="1192">
        <v>2</v>
      </c>
      <c r="P482" s="1192"/>
      <c r="Q482" s="1120"/>
    </row>
    <row r="483" spans="1:17" s="482" customFormat="1">
      <c r="C483" s="1199" t="s">
        <v>2742</v>
      </c>
      <c r="D483" s="89"/>
      <c r="E483" s="89"/>
      <c r="F483" s="451"/>
      <c r="G483" s="1200" t="s">
        <v>2489</v>
      </c>
      <c r="H483" s="1198"/>
      <c r="I483" s="1200"/>
      <c r="J483" s="451" t="s">
        <v>3655</v>
      </c>
      <c r="K483" s="451"/>
      <c r="L483" s="1574"/>
      <c r="M483" s="451"/>
      <c r="N483" s="452"/>
      <c r="O483" s="1192">
        <v>2</v>
      </c>
      <c r="P483" s="1192"/>
      <c r="Q483" s="1120"/>
    </row>
    <row r="484" spans="1:17" s="482" customFormat="1">
      <c r="C484" s="1199" t="s">
        <v>2743</v>
      </c>
      <c r="D484" s="89"/>
      <c r="E484" s="89"/>
      <c r="F484" s="451"/>
      <c r="G484" s="1200" t="s">
        <v>1760</v>
      </c>
      <c r="H484" s="1198"/>
      <c r="I484" s="1201"/>
      <c r="J484" s="1198" t="s">
        <v>3339</v>
      </c>
      <c r="K484" s="451"/>
      <c r="L484" s="1517"/>
      <c r="M484" s="451"/>
      <c r="N484" s="452"/>
      <c r="O484" s="1192">
        <v>1</v>
      </c>
      <c r="P484" s="1192"/>
      <c r="Q484" s="1120"/>
    </row>
    <row r="485" spans="1:17" s="482" customFormat="1">
      <c r="C485" s="1199" t="s">
        <v>2744</v>
      </c>
      <c r="D485" s="89"/>
      <c r="E485" s="89"/>
      <c r="F485" s="451"/>
      <c r="G485" s="1200" t="s">
        <v>1617</v>
      </c>
      <c r="H485" s="1198"/>
      <c r="I485" s="1201"/>
      <c r="J485" s="1198" t="s">
        <v>3340</v>
      </c>
      <c r="K485" s="451"/>
      <c r="L485" s="1517"/>
      <c r="M485" s="451"/>
      <c r="N485" s="452"/>
      <c r="O485" s="1192">
        <v>1</v>
      </c>
      <c r="P485" s="1192"/>
      <c r="Q485" s="1120"/>
    </row>
    <row r="486" spans="1:17" s="482" customFormat="1">
      <c r="C486" s="1199" t="s">
        <v>2745</v>
      </c>
      <c r="D486" s="89"/>
      <c r="E486" s="89"/>
      <c r="F486" s="451"/>
      <c r="G486" s="1200" t="s">
        <v>1023</v>
      </c>
      <c r="H486" s="1198"/>
      <c r="I486" s="1201"/>
      <c r="J486" s="1198" t="s">
        <v>3341</v>
      </c>
      <c r="K486" s="451"/>
      <c r="L486" s="1517"/>
      <c r="M486" s="451"/>
      <c r="N486" s="452"/>
      <c r="O486" s="1192">
        <v>1</v>
      </c>
      <c r="P486" s="1192"/>
      <c r="Q486" s="1120"/>
    </row>
    <row r="487" spans="1:17" s="482" customFormat="1">
      <c r="C487" s="1199" t="s">
        <v>2746</v>
      </c>
      <c r="D487" s="89"/>
      <c r="E487" s="89"/>
      <c r="F487" s="451"/>
      <c r="G487" s="1200" t="s">
        <v>2521</v>
      </c>
      <c r="H487" s="1198"/>
      <c r="I487" s="1201"/>
      <c r="J487" s="1198" t="s">
        <v>3656</v>
      </c>
      <c r="K487" s="451"/>
      <c r="L487" s="1517"/>
      <c r="M487" s="451"/>
      <c r="N487" s="452"/>
      <c r="O487" s="1192">
        <v>1</v>
      </c>
      <c r="P487" s="1192"/>
      <c r="Q487" s="1120"/>
    </row>
    <row r="488" spans="1:17" s="482" customFormat="1">
      <c r="C488" s="1199" t="s">
        <v>2747</v>
      </c>
      <c r="D488" s="89"/>
      <c r="E488" s="89"/>
      <c r="F488" s="451"/>
      <c r="G488" s="1200" t="s">
        <v>2045</v>
      </c>
      <c r="H488" s="1198"/>
      <c r="I488" s="1201"/>
      <c r="J488" s="1198" t="s">
        <v>3349</v>
      </c>
      <c r="K488" s="451"/>
      <c r="L488" s="1517"/>
      <c r="M488" s="451"/>
      <c r="N488" s="452"/>
      <c r="O488" s="1192">
        <v>1</v>
      </c>
      <c r="P488" s="1192"/>
      <c r="Q488" s="1120"/>
    </row>
    <row r="489" spans="1:17" s="482" customFormat="1">
      <c r="C489" s="1199"/>
      <c r="D489" s="89"/>
      <c r="E489" s="89"/>
      <c r="F489" s="451"/>
      <c r="G489" s="1200" t="s">
        <v>3691</v>
      </c>
      <c r="H489" s="1198"/>
      <c r="I489" s="1201"/>
      <c r="J489" s="1198" t="s">
        <v>3342</v>
      </c>
      <c r="K489" s="451"/>
      <c r="L489" s="1517"/>
      <c r="M489" s="451"/>
      <c r="N489" s="452"/>
      <c r="O489" s="1192">
        <v>1</v>
      </c>
      <c r="P489" s="1192"/>
      <c r="Q489" s="1120"/>
    </row>
    <row r="490" spans="1:17" s="482" customFormat="1">
      <c r="C490" s="1199"/>
      <c r="D490" s="89"/>
      <c r="E490" s="89"/>
      <c r="F490" s="451"/>
      <c r="G490" s="1200" t="s">
        <v>9</v>
      </c>
      <c r="H490" s="1198"/>
      <c r="I490" s="1201"/>
      <c r="J490" s="1198" t="s">
        <v>3343</v>
      </c>
      <c r="K490" s="451"/>
      <c r="L490" s="1517"/>
      <c r="M490" s="451"/>
      <c r="N490" s="452"/>
      <c r="O490" s="1192">
        <v>1</v>
      </c>
      <c r="P490" s="1192"/>
      <c r="Q490" s="1120"/>
    </row>
    <row r="491" spans="1:17" s="482" customFormat="1">
      <c r="C491" s="1199"/>
      <c r="D491" s="451"/>
      <c r="E491" s="451"/>
      <c r="F491" s="451"/>
      <c r="G491" s="1200" t="s">
        <v>353</v>
      </c>
      <c r="H491" s="1198"/>
      <c r="I491" s="1201"/>
      <c r="J491" s="1198" t="s">
        <v>3344</v>
      </c>
      <c r="K491" s="451"/>
      <c r="L491" s="1201"/>
      <c r="M491" s="451"/>
      <c r="N491" s="452"/>
      <c r="O491" s="1192">
        <v>1</v>
      </c>
      <c r="P491" s="1192"/>
      <c r="Q491" s="1120"/>
    </row>
    <row r="492" spans="1:17" s="482" customFormat="1">
      <c r="C492" s="451"/>
      <c r="D492" s="451"/>
      <c r="E492" s="451"/>
      <c r="F492" s="451"/>
      <c r="G492" s="1200" t="s">
        <v>1317</v>
      </c>
      <c r="H492" s="1198"/>
      <c r="I492" s="1201"/>
      <c r="J492" s="1198" t="s">
        <v>3345</v>
      </c>
      <c r="K492" s="451"/>
      <c r="L492" s="1201"/>
      <c r="M492" s="451"/>
      <c r="N492" s="452"/>
      <c r="O492" s="1192">
        <v>1</v>
      </c>
      <c r="P492" s="1192"/>
      <c r="Q492" s="1120"/>
    </row>
    <row r="493" spans="1:17" s="482" customFormat="1">
      <c r="C493" s="451"/>
      <c r="D493" s="451"/>
      <c r="E493" s="451"/>
      <c r="F493" s="451"/>
      <c r="G493" s="1200" t="s">
        <v>1486</v>
      </c>
      <c r="H493" s="1198"/>
      <c r="I493" s="1201"/>
      <c r="J493" s="1198" t="s">
        <v>3348</v>
      </c>
      <c r="K493" s="451"/>
      <c r="L493" s="1201"/>
      <c r="M493" s="451"/>
      <c r="N493" s="452"/>
      <c r="O493" s="1192">
        <v>1</v>
      </c>
      <c r="P493" s="1192"/>
      <c r="Q493" s="1120"/>
    </row>
    <row r="494" spans="1:17" s="482" customFormat="1">
      <c r="A494" s="1043" t="s">
        <v>2749</v>
      </c>
      <c r="C494" s="451"/>
      <c r="D494" s="451"/>
      <c r="E494" s="451"/>
      <c r="F494" s="451"/>
      <c r="G494" s="1200" t="s">
        <v>1009</v>
      </c>
      <c r="H494" s="1198"/>
      <c r="I494" s="1201"/>
      <c r="J494" s="1198" t="s">
        <v>3346</v>
      </c>
      <c r="K494" s="451"/>
      <c r="L494" s="1201"/>
      <c r="M494" s="451"/>
      <c r="N494" s="452"/>
      <c r="O494" s="1192">
        <v>1</v>
      </c>
      <c r="P494" s="1192"/>
      <c r="Q494" s="1120"/>
    </row>
    <row r="495" spans="1:17" s="482" customFormat="1">
      <c r="A495" s="1043" t="s">
        <v>2773</v>
      </c>
      <c r="C495" s="451"/>
      <c r="D495" s="451"/>
      <c r="E495" s="451"/>
      <c r="F495" s="451"/>
      <c r="G495" s="1200" t="s">
        <v>1736</v>
      </c>
      <c r="H495" s="1198"/>
      <c r="I495" s="1201"/>
      <c r="J495" s="1198" t="s">
        <v>3347</v>
      </c>
      <c r="K495" s="451"/>
      <c r="L495" s="1201"/>
      <c r="M495" s="451"/>
      <c r="N495" s="452"/>
      <c r="O495" s="1192">
        <v>1</v>
      </c>
      <c r="P495" s="1192"/>
      <c r="Q495" s="1120"/>
    </row>
    <row r="496" spans="1:17" s="482" customFormat="1">
      <c r="A496" s="1052" t="s">
        <v>3315</v>
      </c>
      <c r="C496" s="451"/>
      <c r="D496" s="1199"/>
      <c r="E496" s="1199">
        <v>3</v>
      </c>
      <c r="F496" s="451"/>
      <c r="G496" s="1200" t="s">
        <v>2034</v>
      </c>
      <c r="H496" s="1198"/>
      <c r="I496" s="1201"/>
      <c r="J496" s="451"/>
      <c r="K496" s="451"/>
      <c r="L496" s="1517"/>
      <c r="M496" s="451"/>
      <c r="N496" s="452"/>
      <c r="O496" s="1192"/>
      <c r="P496" s="1192"/>
      <c r="Q496" s="1120"/>
    </row>
    <row r="497" spans="1:17" s="482" customFormat="1">
      <c r="A497" s="1052" t="s">
        <v>3316</v>
      </c>
      <c r="C497" s="451"/>
      <c r="D497" s="1199"/>
      <c r="E497" s="1199">
        <v>2</v>
      </c>
      <c r="F497" s="451"/>
      <c r="G497" s="1200" t="s">
        <v>85</v>
      </c>
      <c r="H497" s="1198"/>
      <c r="I497" s="1201"/>
      <c r="J497" s="451"/>
      <c r="K497" s="451"/>
      <c r="L497" s="1517"/>
      <c r="M497" s="451"/>
      <c r="N497" s="452"/>
      <c r="O497" s="1192"/>
      <c r="P497" s="1192"/>
      <c r="Q497" s="1120"/>
    </row>
    <row r="498" spans="1:17" s="482" customFormat="1">
      <c r="A498" s="1052" t="s">
        <v>3317</v>
      </c>
      <c r="C498" s="451"/>
      <c r="D498" s="1199"/>
      <c r="E498" s="1199">
        <v>10</v>
      </c>
      <c r="F498" s="451"/>
      <c r="G498" s="1200" t="s">
        <v>2457</v>
      </c>
      <c r="H498" s="1198"/>
      <c r="I498" s="1201"/>
      <c r="J498" s="1519" t="s">
        <v>3666</v>
      </c>
      <c r="K498" s="451"/>
      <c r="L498" s="1517"/>
      <c r="M498" s="451"/>
      <c r="N498" s="452"/>
      <c r="O498" s="1192"/>
      <c r="P498" s="1192"/>
      <c r="Q498" s="1120"/>
    </row>
    <row r="499" spans="1:17" s="482" customFormat="1">
      <c r="A499" s="1052" t="s">
        <v>2774</v>
      </c>
      <c r="C499" s="451"/>
      <c r="D499" s="1199"/>
      <c r="E499" s="1199"/>
      <c r="F499" s="451"/>
      <c r="G499" s="1200" t="s">
        <v>882</v>
      </c>
      <c r="H499" s="1198"/>
      <c r="I499" s="1201"/>
      <c r="J499" s="1198" t="s">
        <v>3826</v>
      </c>
      <c r="K499" s="451"/>
      <c r="L499" s="1517"/>
      <c r="M499" s="451"/>
      <c r="N499" s="452"/>
      <c r="O499" s="1192"/>
      <c r="P499" s="1192"/>
      <c r="Q499" s="1120"/>
    </row>
    <row r="500" spans="1:17" s="482" customFormat="1">
      <c r="C500" s="1199"/>
      <c r="D500" s="451"/>
      <c r="E500" s="451"/>
      <c r="F500" s="451"/>
      <c r="G500" s="1200" t="s">
        <v>2113</v>
      </c>
      <c r="H500" s="1198"/>
      <c r="I500" s="1201"/>
      <c r="J500" s="1198" t="s">
        <v>3821</v>
      </c>
      <c r="K500" s="451"/>
      <c r="L500" s="1517"/>
      <c r="M500" s="451"/>
      <c r="N500" s="452"/>
      <c r="O500" s="1192"/>
      <c r="P500" s="1192"/>
      <c r="Q500" s="1120"/>
    </row>
    <row r="501" spans="1:17" s="482" customFormat="1">
      <c r="C501" s="1199"/>
      <c r="D501" s="451"/>
      <c r="E501" s="451"/>
      <c r="F501" s="451"/>
      <c r="G501" s="1200" t="s">
        <v>2032</v>
      </c>
      <c r="H501" s="1198"/>
      <c r="I501" s="1201"/>
      <c r="J501" s="1198" t="s">
        <v>3659</v>
      </c>
      <c r="K501" s="1198"/>
      <c r="L501" s="1517"/>
      <c r="M501" s="451"/>
      <c r="N501" s="452"/>
      <c r="O501" s="1192"/>
      <c r="P501" s="1192"/>
      <c r="Q501" s="1120"/>
    </row>
    <row r="502" spans="1:17" s="482" customFormat="1">
      <c r="C502" s="1199"/>
      <c r="D502" s="451"/>
      <c r="E502" s="451"/>
      <c r="F502" s="451"/>
      <c r="G502" s="1200" t="s">
        <v>591</v>
      </c>
      <c r="H502" s="1201"/>
      <c r="I502" s="1198"/>
      <c r="J502" s="1198" t="s">
        <v>3817</v>
      </c>
      <c r="K502" s="451"/>
      <c r="L502" s="1517"/>
      <c r="M502" s="451"/>
      <c r="N502" s="452"/>
      <c r="O502" s="1192"/>
      <c r="P502" s="1192"/>
      <c r="Q502" s="1120"/>
    </row>
    <row r="503" spans="1:17" s="482" customFormat="1">
      <c r="C503" s="1199"/>
      <c r="D503" s="451"/>
      <c r="E503" s="451"/>
      <c r="F503" s="451"/>
      <c r="G503" s="1200" t="s">
        <v>332</v>
      </c>
      <c r="H503" s="1201"/>
      <c r="I503" s="1198"/>
      <c r="J503" s="1198" t="s">
        <v>3660</v>
      </c>
      <c r="K503" s="1198"/>
      <c r="L503" s="1517"/>
      <c r="M503" s="451"/>
      <c r="N503" s="452"/>
      <c r="O503" s="1192"/>
      <c r="P503" s="1192"/>
      <c r="Q503" s="1120"/>
    </row>
    <row r="504" spans="1:17" s="482" customFormat="1">
      <c r="C504" s="451"/>
      <c r="D504" s="451"/>
      <c r="E504" s="451"/>
      <c r="F504" s="451"/>
      <c r="G504" s="1200" t="s">
        <v>860</v>
      </c>
      <c r="H504" s="1201"/>
      <c r="I504" s="1198"/>
      <c r="J504" s="1198" t="s">
        <v>3818</v>
      </c>
      <c r="K504" s="451"/>
      <c r="L504" s="1517"/>
      <c r="M504" s="451"/>
      <c r="N504" s="452"/>
      <c r="O504" s="1192"/>
      <c r="P504" s="1192"/>
      <c r="Q504" s="1120"/>
    </row>
    <row r="505" spans="1:17" s="482" customFormat="1">
      <c r="C505" s="451"/>
      <c r="D505" s="451"/>
      <c r="E505" s="451"/>
      <c r="F505" s="451"/>
      <c r="G505" s="1200" t="s">
        <v>1898</v>
      </c>
      <c r="H505" s="1201"/>
      <c r="I505" s="1198"/>
      <c r="J505" s="1198" t="s">
        <v>3661</v>
      </c>
      <c r="K505" s="451"/>
      <c r="L505" s="1518"/>
      <c r="M505" s="451"/>
      <c r="N505" s="452"/>
      <c r="O505" s="1192"/>
      <c r="P505" s="1192"/>
      <c r="Q505" s="1120"/>
    </row>
    <row r="506" spans="1:17" s="482" customFormat="1">
      <c r="C506" s="451"/>
      <c r="D506" s="451"/>
      <c r="E506" s="451"/>
      <c r="F506" s="451"/>
      <c r="G506" s="1200" t="s">
        <v>1902</v>
      </c>
      <c r="H506" s="1201"/>
      <c r="I506" s="1198"/>
      <c r="J506" s="1198" t="s">
        <v>3819</v>
      </c>
      <c r="K506" s="451"/>
      <c r="L506" s="1517"/>
      <c r="M506" s="451"/>
      <c r="N506" s="452"/>
      <c r="O506" s="1192"/>
      <c r="P506" s="1192"/>
      <c r="Q506" s="1120"/>
    </row>
    <row r="507" spans="1:17" s="482" customFormat="1">
      <c r="C507" s="451"/>
      <c r="D507" s="451"/>
      <c r="E507" s="451"/>
      <c r="F507" s="451"/>
      <c r="G507" s="1200" t="s">
        <v>451</v>
      </c>
      <c r="H507" s="1201"/>
      <c r="I507" s="1198"/>
      <c r="J507" s="1198" t="s">
        <v>3822</v>
      </c>
      <c r="K507" s="451"/>
      <c r="L507" s="1517"/>
      <c r="M507" s="451"/>
      <c r="N507" s="452"/>
      <c r="O507" s="1192"/>
      <c r="P507" s="1192"/>
      <c r="Q507" s="1120"/>
    </row>
    <row r="508" spans="1:17" s="482" customFormat="1">
      <c r="C508" s="451"/>
      <c r="D508" s="451"/>
      <c r="E508" s="451"/>
      <c r="F508" s="451"/>
      <c r="G508" s="1200" t="s">
        <v>3528</v>
      </c>
      <c r="H508" s="1201"/>
      <c r="I508" s="1198"/>
      <c r="J508" s="1198" t="s">
        <v>3825</v>
      </c>
      <c r="K508" s="1198"/>
      <c r="L508" s="1518"/>
      <c r="M508" s="451"/>
      <c r="N508" s="452"/>
      <c r="O508" s="1192"/>
      <c r="P508" s="1192"/>
      <c r="Q508" s="1120"/>
    </row>
    <row r="509" spans="1:17" s="482" customFormat="1">
      <c r="C509" s="451"/>
      <c r="D509" s="1202"/>
      <c r="E509" s="451"/>
      <c r="F509" s="451"/>
      <c r="G509" s="1200" t="s">
        <v>416</v>
      </c>
      <c r="H509" s="1201"/>
      <c r="I509" s="1198"/>
      <c r="J509" s="1198" t="s">
        <v>3662</v>
      </c>
      <c r="K509" s="451"/>
      <c r="L509" s="1517"/>
      <c r="M509" s="451"/>
      <c r="N509" s="452"/>
      <c r="O509" s="1192"/>
      <c r="P509" s="1192"/>
      <c r="Q509" s="1120"/>
    </row>
    <row r="510" spans="1:17" s="482" customFormat="1">
      <c r="C510" s="451"/>
      <c r="D510" s="1202"/>
      <c r="E510" s="451"/>
      <c r="F510" s="451"/>
      <c r="G510" s="1200" t="s">
        <v>231</v>
      </c>
      <c r="H510" s="1201"/>
      <c r="I510" s="1198"/>
      <c r="J510" s="1198" t="s">
        <v>3663</v>
      </c>
      <c r="K510" s="451"/>
      <c r="L510" s="1517"/>
      <c r="M510" s="451"/>
      <c r="N510" s="452"/>
      <c r="O510" s="1192"/>
      <c r="P510" s="1192"/>
      <c r="Q510" s="1120"/>
    </row>
    <row r="511" spans="1:17" s="482" customFormat="1">
      <c r="C511" s="451"/>
      <c r="D511" s="1203"/>
      <c r="E511" s="451"/>
      <c r="F511" s="451"/>
      <c r="G511" s="1200" t="s">
        <v>1206</v>
      </c>
      <c r="H511" s="1201"/>
      <c r="I511" s="1198"/>
      <c r="J511" s="1198" t="s">
        <v>3820</v>
      </c>
      <c r="K511" s="451"/>
      <c r="L511" s="1517"/>
      <c r="M511" s="451"/>
      <c r="N511" s="452"/>
      <c r="O511" s="1192"/>
      <c r="P511" s="1192"/>
      <c r="Q511" s="1120"/>
    </row>
    <row r="512" spans="1:17" s="482" customFormat="1">
      <c r="C512" s="451"/>
      <c r="D512" s="1203"/>
      <c r="E512" s="1203"/>
      <c r="F512" s="451"/>
      <c r="G512" s="1200" t="s">
        <v>1208</v>
      </c>
      <c r="H512" s="1201"/>
      <c r="I512" s="1198"/>
      <c r="J512" s="1198" t="s">
        <v>3823</v>
      </c>
      <c r="K512" s="451"/>
      <c r="L512" s="1518"/>
      <c r="M512" s="451"/>
      <c r="N512" s="452"/>
      <c r="O512" s="1192"/>
      <c r="P512" s="1192"/>
      <c r="Q512" s="1120"/>
    </row>
    <row r="513" spans="3:17" s="482" customFormat="1">
      <c r="C513" s="451"/>
      <c r="D513" s="451"/>
      <c r="E513" s="451"/>
      <c r="F513" s="451"/>
      <c r="G513" s="1200" t="s">
        <v>1618</v>
      </c>
      <c r="H513" s="1201"/>
      <c r="I513" s="1198"/>
      <c r="J513" s="1198" t="s">
        <v>3824</v>
      </c>
      <c r="K513" s="451"/>
      <c r="L513" s="1517"/>
      <c r="M513" s="451"/>
      <c r="N513" s="452"/>
      <c r="O513" s="1192"/>
      <c r="P513" s="1192"/>
      <c r="Q513" s="1120"/>
    </row>
    <row r="514" spans="3:17" s="482" customFormat="1">
      <c r="C514" s="451"/>
      <c r="D514" s="451"/>
      <c r="E514" s="451"/>
      <c r="F514" s="451"/>
      <c r="G514" s="1200" t="s">
        <v>972</v>
      </c>
      <c r="H514" s="1201"/>
      <c r="I514" s="1198"/>
      <c r="J514" s="1198" t="s">
        <v>3664</v>
      </c>
      <c r="K514" s="451"/>
      <c r="L514" s="1517"/>
      <c r="M514" s="451"/>
      <c r="N514" s="452"/>
      <c r="O514" s="1192"/>
      <c r="P514" s="1192"/>
      <c r="Q514" s="1120"/>
    </row>
    <row r="515" spans="3:17" s="482" customFormat="1">
      <c r="C515" s="1202"/>
      <c r="D515" s="451"/>
      <c r="E515" s="451"/>
      <c r="F515" s="451"/>
      <c r="G515" s="1200" t="s">
        <v>564</v>
      </c>
      <c r="H515" s="1198"/>
      <c r="I515" s="1198"/>
      <c r="J515" s="1198" t="s">
        <v>3665</v>
      </c>
      <c r="K515" s="451"/>
      <c r="L515" s="1517"/>
      <c r="M515" s="451"/>
      <c r="N515" s="452"/>
      <c r="O515" s="1192"/>
      <c r="P515" s="1192"/>
      <c r="Q515" s="1120"/>
    </row>
    <row r="516" spans="3:17" s="482" customFormat="1">
      <c r="C516" s="1202"/>
      <c r="D516" s="451"/>
      <c r="E516" s="451"/>
      <c r="F516" s="451"/>
      <c r="G516" s="1200" t="s">
        <v>1619</v>
      </c>
      <c r="H516" s="1198"/>
      <c r="I516" s="1198"/>
      <c r="J516" s="1198"/>
      <c r="K516" s="451"/>
      <c r="L516" s="1517"/>
      <c r="M516" s="451"/>
      <c r="N516" s="452"/>
      <c r="O516" s="1192"/>
      <c r="P516" s="1192"/>
      <c r="Q516" s="1120"/>
    </row>
    <row r="517" spans="3:17" s="482" customFormat="1">
      <c r="C517" s="1202"/>
      <c r="D517" s="451"/>
      <c r="E517" s="451"/>
      <c r="F517" s="451"/>
      <c r="G517" s="1200" t="s">
        <v>1658</v>
      </c>
      <c r="H517" s="1198"/>
      <c r="I517" s="1198"/>
      <c r="J517" s="1198"/>
      <c r="K517" s="451"/>
      <c r="L517" s="1517"/>
      <c r="M517" s="451"/>
      <c r="N517" s="452"/>
      <c r="O517" s="1192"/>
      <c r="P517" s="1192"/>
      <c r="Q517" s="1120"/>
    </row>
    <row r="518" spans="3:17" s="482" customFormat="1">
      <c r="C518" s="1202"/>
      <c r="D518" s="451"/>
      <c r="E518" s="451"/>
      <c r="F518" s="451"/>
      <c r="G518" s="1200" t="s">
        <v>1719</v>
      </c>
      <c r="H518" s="1198"/>
      <c r="I518" s="1198"/>
      <c r="J518" s="1198"/>
      <c r="K518" s="451"/>
      <c r="L518" s="1517"/>
      <c r="M518" s="451"/>
      <c r="N518" s="452"/>
      <c r="O518" s="1192"/>
      <c r="P518" s="1192"/>
      <c r="Q518" s="1120"/>
    </row>
    <row r="519" spans="3:17" s="482" customFormat="1">
      <c r="C519" s="1202"/>
      <c r="D519" s="451"/>
      <c r="E519" s="451"/>
      <c r="F519" s="451"/>
      <c r="G519" s="1200" t="s">
        <v>3331</v>
      </c>
      <c r="H519" s="1198"/>
      <c r="I519" s="1198"/>
      <c r="J519" s="1198"/>
      <c r="K519" s="451"/>
      <c r="L519" s="1517"/>
      <c r="M519" s="451"/>
      <c r="N519" s="452"/>
      <c r="O519" s="1192"/>
      <c r="P519" s="1192"/>
      <c r="Q519" s="1120"/>
    </row>
    <row r="520" spans="3:17" s="482" customFormat="1">
      <c r="C520" s="1202"/>
      <c r="D520" s="451"/>
      <c r="E520" s="451"/>
      <c r="F520" s="451"/>
      <c r="G520" s="1200" t="s">
        <v>809</v>
      </c>
      <c r="H520" s="1198"/>
      <c r="I520" s="1198"/>
      <c r="J520" s="1198"/>
      <c r="K520" s="451"/>
      <c r="L520" s="1517"/>
      <c r="M520" s="451"/>
      <c r="N520" s="452"/>
      <c r="O520" s="1192"/>
      <c r="P520" s="1192"/>
      <c r="Q520" s="1120"/>
    </row>
    <row r="521" spans="3:17" s="482" customFormat="1">
      <c r="C521" s="1202"/>
      <c r="D521" s="451"/>
      <c r="E521" s="451"/>
      <c r="F521" s="451"/>
      <c r="G521" s="1200" t="s">
        <v>177</v>
      </c>
      <c r="H521" s="1198"/>
      <c r="I521" s="1198"/>
      <c r="J521" s="1198"/>
      <c r="K521" s="451"/>
      <c r="L521" s="1518"/>
      <c r="M521" s="451"/>
      <c r="N521" s="452"/>
      <c r="O521" s="1192"/>
      <c r="P521" s="1192"/>
      <c r="Q521" s="1120"/>
    </row>
    <row r="522" spans="3:17" s="482" customFormat="1">
      <c r="C522" s="1203"/>
      <c r="D522" s="451"/>
      <c r="E522" s="451"/>
      <c r="F522" s="451"/>
      <c r="G522" s="1200" t="s">
        <v>3883</v>
      </c>
      <c r="H522" s="1198"/>
      <c r="I522" s="1198"/>
      <c r="J522" s="1198"/>
      <c r="K522" s="451"/>
      <c r="L522" s="1518"/>
      <c r="M522" s="451"/>
      <c r="N522" s="452"/>
      <c r="O522" s="1192"/>
      <c r="P522" s="1192"/>
      <c r="Q522" s="1120"/>
    </row>
    <row r="523" spans="3:17" s="482" customFormat="1">
      <c r="C523" s="1203"/>
      <c r="D523" s="451"/>
      <c r="E523" s="451"/>
      <c r="F523" s="451"/>
      <c r="G523" s="1200" t="s">
        <v>513</v>
      </c>
      <c r="H523" s="1198"/>
      <c r="I523" s="1198"/>
      <c r="J523" s="1198"/>
      <c r="K523" s="451"/>
      <c r="L523" s="1198"/>
      <c r="M523" s="451"/>
      <c r="N523" s="452"/>
      <c r="O523" s="1192"/>
      <c r="P523" s="1192"/>
      <c r="Q523" s="1120"/>
    </row>
    <row r="524" spans="3:17" s="482" customFormat="1">
      <c r="C524" s="451"/>
      <c r="D524" s="451"/>
      <c r="E524" s="451"/>
      <c r="F524" s="451"/>
      <c r="G524" s="1200" t="s">
        <v>521</v>
      </c>
      <c r="H524" s="1198"/>
      <c r="I524" s="1198"/>
      <c r="J524" s="1198"/>
      <c r="K524" s="451"/>
      <c r="L524" s="1198"/>
      <c r="M524" s="451"/>
      <c r="N524" s="452"/>
      <c r="O524" s="1192"/>
      <c r="P524" s="1192"/>
      <c r="Q524" s="1120"/>
    </row>
    <row r="525" spans="3:17" s="482" customFormat="1">
      <c r="C525" s="451"/>
      <c r="D525" s="451"/>
      <c r="E525" s="451"/>
      <c r="F525" s="451"/>
      <c r="G525" s="1200" t="s">
        <v>534</v>
      </c>
      <c r="H525" s="1198"/>
      <c r="I525" s="1198"/>
      <c r="J525" s="1198"/>
      <c r="K525" s="1198"/>
      <c r="L525" s="451"/>
      <c r="M525" s="451"/>
      <c r="N525" s="452"/>
      <c r="O525" s="1192"/>
      <c r="P525" s="1192"/>
      <c r="Q525" s="1120"/>
    </row>
    <row r="526" spans="3:17" s="482" customFormat="1">
      <c r="C526" s="451"/>
      <c r="D526" s="451"/>
      <c r="E526" s="451"/>
      <c r="F526" s="451"/>
      <c r="G526" s="1200" t="s">
        <v>1616</v>
      </c>
      <c r="H526" s="1198"/>
      <c r="I526" s="1198"/>
      <c r="J526" s="1198"/>
      <c r="K526" s="1198"/>
      <c r="L526" s="451"/>
      <c r="M526" s="451"/>
      <c r="N526" s="452"/>
      <c r="O526" s="1192"/>
      <c r="P526" s="1192"/>
      <c r="Q526" s="1120"/>
    </row>
    <row r="527" spans="3:17" s="482" customFormat="1">
      <c r="C527" s="451"/>
      <c r="D527" s="451"/>
      <c r="E527" s="451"/>
      <c r="F527" s="451"/>
      <c r="G527" s="1200" t="s">
        <v>2069</v>
      </c>
      <c r="H527" s="1198"/>
      <c r="I527" s="1198"/>
      <c r="J527" s="1198"/>
      <c r="K527" s="1198"/>
      <c r="L527" s="451"/>
      <c r="M527" s="451"/>
      <c r="N527" s="452"/>
      <c r="O527" s="1192"/>
      <c r="P527" s="1192"/>
      <c r="Q527" s="1120"/>
    </row>
    <row r="528" spans="3:17" s="482" customFormat="1">
      <c r="C528" s="451"/>
      <c r="D528" s="451"/>
      <c r="E528" s="451"/>
      <c r="F528" s="451"/>
      <c r="G528" s="1200" t="s">
        <v>2220</v>
      </c>
      <c r="H528" s="1198"/>
      <c r="I528" s="1198"/>
      <c r="J528" s="1198"/>
      <c r="K528" s="1198"/>
      <c r="L528" s="451"/>
      <c r="M528" s="451"/>
      <c r="N528" s="452"/>
      <c r="O528" s="1192"/>
      <c r="P528" s="1192"/>
      <c r="Q528" s="1120"/>
    </row>
    <row r="529" spans="3:17" s="482" customFormat="1">
      <c r="C529" s="451"/>
      <c r="D529" s="451"/>
      <c r="E529" s="451"/>
      <c r="F529" s="451"/>
      <c r="G529" s="1200" t="s">
        <v>394</v>
      </c>
      <c r="H529" s="1198"/>
      <c r="I529" s="1198"/>
      <c r="J529" s="1198"/>
      <c r="K529" s="1198"/>
      <c r="L529" s="451"/>
      <c r="M529" s="451"/>
      <c r="N529" s="452"/>
      <c r="O529" s="1192"/>
      <c r="P529" s="1192"/>
      <c r="Q529" s="1120"/>
    </row>
    <row r="530" spans="3:17" s="482" customFormat="1">
      <c r="C530" s="451"/>
      <c r="D530" s="451"/>
      <c r="E530" s="451"/>
      <c r="F530" s="451"/>
      <c r="G530" s="1200" t="s">
        <v>1422</v>
      </c>
      <c r="H530" s="1198"/>
      <c r="I530" s="1198"/>
      <c r="J530" s="1198"/>
      <c r="K530" s="1198"/>
      <c r="L530" s="451"/>
      <c r="M530" s="451"/>
      <c r="N530" s="452"/>
      <c r="O530" s="1192"/>
      <c r="P530" s="1192"/>
      <c r="Q530" s="1120"/>
    </row>
    <row r="531" spans="3:17" s="482" customFormat="1">
      <c r="C531" s="451"/>
      <c r="D531" s="451"/>
      <c r="E531" s="451"/>
      <c r="F531" s="451"/>
      <c r="G531" s="1200" t="s">
        <v>2095</v>
      </c>
      <c r="H531" s="1198"/>
      <c r="I531" s="1198"/>
      <c r="J531" s="1198"/>
      <c r="K531" s="1198"/>
      <c r="L531" s="451"/>
      <c r="M531" s="451"/>
      <c r="N531" s="452"/>
      <c r="O531" s="1192"/>
      <c r="P531" s="1192"/>
      <c r="Q531" s="1120"/>
    </row>
    <row r="532" spans="3:17" s="482" customFormat="1">
      <c r="C532" s="451"/>
      <c r="D532" s="451"/>
      <c r="E532" s="451"/>
      <c r="F532" s="451"/>
      <c r="G532" s="1200" t="s">
        <v>1425</v>
      </c>
      <c r="H532" s="1198"/>
      <c r="I532" s="1198"/>
      <c r="J532" s="1198"/>
      <c r="K532" s="1198"/>
      <c r="L532" s="451"/>
      <c r="M532" s="451"/>
      <c r="N532" s="452"/>
      <c r="O532" s="1192"/>
      <c r="P532" s="1192"/>
      <c r="Q532" s="1120"/>
    </row>
    <row r="533" spans="3:17" s="482" customFormat="1">
      <c r="C533" s="451"/>
      <c r="D533" s="451"/>
      <c r="E533" s="451"/>
      <c r="F533" s="451"/>
      <c r="G533" s="1200" t="s">
        <v>1537</v>
      </c>
      <c r="H533" s="1198"/>
      <c r="I533" s="1198"/>
      <c r="J533" s="1198"/>
      <c r="K533" s="1198"/>
      <c r="L533" s="451"/>
      <c r="M533" s="451"/>
      <c r="N533" s="452"/>
      <c r="O533" s="1192"/>
      <c r="P533" s="1192"/>
      <c r="Q533" s="1120"/>
    </row>
    <row r="534" spans="3:17" s="482" customFormat="1">
      <c r="C534" s="451"/>
      <c r="D534" s="451"/>
      <c r="E534" s="451"/>
      <c r="F534" s="451"/>
      <c r="G534" s="1200" t="s">
        <v>242</v>
      </c>
      <c r="H534" s="1198"/>
      <c r="I534" s="1198"/>
      <c r="J534" s="1198"/>
      <c r="K534" s="1198"/>
      <c r="L534" s="451"/>
      <c r="M534" s="451"/>
      <c r="N534" s="452"/>
      <c r="O534" s="1192"/>
      <c r="P534" s="1192"/>
      <c r="Q534" s="1120"/>
    </row>
    <row r="535" spans="3:17" s="482" customFormat="1">
      <c r="C535" s="451"/>
      <c r="D535" s="451"/>
      <c r="E535" s="451"/>
      <c r="F535" s="451"/>
      <c r="G535" s="1200" t="s">
        <v>65</v>
      </c>
      <c r="H535" s="1198"/>
      <c r="I535" s="1198"/>
      <c r="J535" s="1198"/>
      <c r="K535" s="1198"/>
      <c r="L535" s="451"/>
      <c r="M535" s="451"/>
      <c r="N535" s="452"/>
      <c r="O535" s="1192"/>
      <c r="P535" s="1192"/>
      <c r="Q535" s="1120"/>
    </row>
    <row r="536" spans="3:17" s="482" customFormat="1">
      <c r="C536" s="451"/>
      <c r="D536" s="451"/>
      <c r="E536" s="451"/>
      <c r="F536" s="451"/>
      <c r="G536" s="1200" t="s">
        <v>1030</v>
      </c>
      <c r="H536" s="451"/>
      <c r="I536" s="451"/>
      <c r="J536" s="1198"/>
      <c r="K536" s="451"/>
      <c r="L536" s="89"/>
      <c r="M536" s="89"/>
      <c r="N536" s="1525"/>
      <c r="O536" s="1596"/>
      <c r="P536" s="1596"/>
      <c r="Q536" s="1120"/>
    </row>
    <row r="537" spans="3:17" s="482" customFormat="1">
      <c r="C537" s="451"/>
      <c r="D537" s="451"/>
      <c r="E537" s="451"/>
      <c r="F537" s="451"/>
      <c r="G537" s="1200" t="s">
        <v>2239</v>
      </c>
      <c r="H537" s="451"/>
      <c r="I537" s="451"/>
      <c r="J537" s="1198"/>
      <c r="K537" s="451"/>
      <c r="L537" s="89"/>
      <c r="M537" s="89"/>
      <c r="N537" s="1525"/>
      <c r="O537" s="1596"/>
      <c r="P537" s="1596"/>
      <c r="Q537" s="1120"/>
    </row>
    <row r="538" spans="3:17" s="482" customFormat="1">
      <c r="C538" s="451"/>
      <c r="D538" s="451"/>
      <c r="E538" s="451"/>
      <c r="F538" s="451"/>
      <c r="G538" s="1193" t="s">
        <v>2137</v>
      </c>
      <c r="H538" s="451"/>
      <c r="I538" s="451"/>
      <c r="J538" s="1198"/>
      <c r="K538" s="451"/>
      <c r="L538" s="89"/>
      <c r="M538" s="89"/>
      <c r="N538" s="1525"/>
      <c r="O538" s="1596"/>
      <c r="P538" s="1596"/>
      <c r="Q538" s="1120"/>
    </row>
    <row r="539" spans="3:17" s="482" customFormat="1">
      <c r="C539" s="451"/>
      <c r="D539" s="451"/>
      <c r="E539" s="451"/>
      <c r="F539" s="451"/>
      <c r="G539" s="1193" t="s">
        <v>1620</v>
      </c>
      <c r="H539" s="451"/>
      <c r="I539" s="451"/>
      <c r="J539" s="1198"/>
      <c r="K539" s="451"/>
      <c r="L539" s="89"/>
      <c r="M539" s="89"/>
      <c r="N539" s="1525"/>
      <c r="O539" s="1596"/>
      <c r="P539" s="1596"/>
      <c r="Q539" s="1120"/>
    </row>
    <row r="540" spans="3:17" s="482" customFormat="1">
      <c r="C540" s="451"/>
      <c r="D540" s="451"/>
      <c r="E540" s="451"/>
      <c r="F540" s="451"/>
      <c r="G540" s="1193" t="s">
        <v>1862</v>
      </c>
      <c r="H540" s="451"/>
      <c r="I540" s="451"/>
      <c r="J540" s="451"/>
      <c r="K540" s="451"/>
      <c r="L540" s="89"/>
      <c r="M540" s="89"/>
      <c r="N540" s="1525"/>
      <c r="O540" s="1596"/>
      <c r="P540" s="1596"/>
      <c r="Q540" s="1120"/>
    </row>
    <row r="541" spans="3:17" s="482" customFormat="1">
      <c r="C541" s="451"/>
      <c r="D541" s="451"/>
      <c r="E541" s="451"/>
      <c r="F541" s="451"/>
      <c r="G541" s="1193" t="s">
        <v>497</v>
      </c>
      <c r="H541" s="451"/>
      <c r="I541" s="451"/>
      <c r="J541" s="451"/>
      <c r="K541" s="451"/>
      <c r="L541" s="89"/>
      <c r="M541" s="89"/>
      <c r="N541" s="1525"/>
      <c r="O541" s="1596"/>
      <c r="P541" s="1596"/>
      <c r="Q541" s="1120"/>
    </row>
    <row r="542" spans="3:17" s="482" customFormat="1">
      <c r="C542" s="451"/>
      <c r="D542" s="451"/>
      <c r="E542" s="451"/>
      <c r="F542" s="451"/>
      <c r="G542" s="1193" t="s">
        <v>2231</v>
      </c>
      <c r="H542" s="451"/>
      <c r="I542" s="451"/>
      <c r="J542" s="451"/>
      <c r="K542" s="451"/>
      <c r="L542" s="89"/>
      <c r="M542" s="89"/>
      <c r="N542" s="1525"/>
      <c r="O542" s="1596"/>
      <c r="P542" s="1596"/>
      <c r="Q542" s="1120"/>
    </row>
    <row r="543" spans="3:17" s="482" customFormat="1">
      <c r="C543" s="451"/>
      <c r="D543" s="451"/>
      <c r="E543" s="451"/>
      <c r="F543" s="451"/>
      <c r="G543" s="1193" t="s">
        <v>2100</v>
      </c>
      <c r="H543" s="451"/>
      <c r="I543" s="451"/>
      <c r="J543" s="451"/>
      <c r="K543" s="451"/>
      <c r="L543" s="89"/>
      <c r="M543" s="89"/>
      <c r="N543" s="1525"/>
      <c r="O543" s="1596"/>
      <c r="P543" s="1596"/>
      <c r="Q543" s="1120"/>
    </row>
    <row r="544" spans="3:17" s="482" customFormat="1">
      <c r="C544" s="451"/>
      <c r="D544" s="451"/>
      <c r="E544" s="451"/>
      <c r="F544" s="451"/>
      <c r="G544" s="1193" t="s">
        <v>1621</v>
      </c>
      <c r="H544" s="451"/>
      <c r="I544" s="451"/>
      <c r="J544" s="451"/>
      <c r="K544" s="451"/>
      <c r="L544" s="89"/>
      <c r="M544" s="89"/>
      <c r="N544" s="1525"/>
      <c r="O544" s="1596"/>
      <c r="P544" s="1596"/>
      <c r="Q544" s="1120"/>
    </row>
    <row r="545" spans="3:17" s="482" customFormat="1">
      <c r="C545" s="451"/>
      <c r="D545" s="451"/>
      <c r="E545" s="451"/>
      <c r="F545" s="451"/>
      <c r="G545" s="1193" t="s">
        <v>2305</v>
      </c>
      <c r="H545" s="451"/>
      <c r="I545" s="451"/>
      <c r="J545" s="451"/>
      <c r="K545" s="451"/>
      <c r="L545" s="89"/>
      <c r="M545" s="89"/>
      <c r="N545" s="1525"/>
      <c r="O545" s="1596"/>
      <c r="P545" s="1596"/>
      <c r="Q545" s="1120"/>
    </row>
    <row r="546" spans="3:17" s="482" customFormat="1">
      <c r="G546" s="1193" t="s">
        <v>1665</v>
      </c>
      <c r="N546" s="1040"/>
      <c r="O546" s="1041"/>
      <c r="P546" s="1041"/>
    </row>
    <row r="547" spans="3:17" s="482" customFormat="1">
      <c r="G547" s="1193" t="s">
        <v>4276</v>
      </c>
      <c r="N547" s="1040"/>
      <c r="O547" s="1041"/>
      <c r="P547" s="1041"/>
    </row>
    <row r="548" spans="3:17" s="482" customFormat="1">
      <c r="G548" s="1198" t="s">
        <v>2232</v>
      </c>
      <c r="N548" s="1040"/>
      <c r="O548" s="1041"/>
      <c r="P548" s="1041"/>
    </row>
    <row r="549" spans="3:17" s="482" customFormat="1">
      <c r="G549" s="1198" t="s">
        <v>1672</v>
      </c>
      <c r="N549" s="1040"/>
      <c r="O549" s="1041"/>
      <c r="P549" s="1041"/>
    </row>
    <row r="550" spans="3:17" s="482" customFormat="1">
      <c r="G550" s="1198" t="s">
        <v>1675</v>
      </c>
      <c r="N550" s="1040"/>
      <c r="O550" s="1041"/>
      <c r="P550" s="1041"/>
    </row>
    <row r="551" spans="3:17" s="482" customFormat="1">
      <c r="G551" s="1120" t="s">
        <v>1680</v>
      </c>
      <c r="N551" s="1040"/>
      <c r="O551" s="1041"/>
      <c r="P551" s="1041"/>
    </row>
    <row r="552" spans="3:17" s="482" customFormat="1">
      <c r="G552" s="1120" t="s">
        <v>1683</v>
      </c>
      <c r="N552" s="1040"/>
      <c r="O552" s="1041"/>
      <c r="P552" s="1041"/>
    </row>
    <row r="553" spans="3:17" s="482" customFormat="1">
      <c r="G553" s="1120" t="s">
        <v>1688</v>
      </c>
      <c r="N553" s="1040"/>
      <c r="O553" s="1041"/>
      <c r="P553" s="1041"/>
    </row>
    <row r="554" spans="3:17">
      <c r="D554" s="158"/>
      <c r="E554" s="158"/>
      <c r="F554" s="158"/>
      <c r="G554" s="1120" t="s">
        <v>1689</v>
      </c>
      <c r="H554" s="482"/>
      <c r="I554" s="482"/>
      <c r="J554" s="482"/>
      <c r="K554" s="482"/>
    </row>
    <row r="555" spans="3:17">
      <c r="D555" s="158"/>
      <c r="E555" s="158"/>
      <c r="F555" s="158"/>
      <c r="G555" s="1120" t="s">
        <v>104</v>
      </c>
      <c r="H555" s="482"/>
      <c r="I555" s="482"/>
      <c r="J555" s="482"/>
      <c r="K555" s="482"/>
    </row>
    <row r="556" spans="3:17">
      <c r="D556" s="158"/>
      <c r="E556" s="158"/>
      <c r="F556" s="158"/>
      <c r="G556" s="1120" t="s">
        <v>293</v>
      </c>
      <c r="H556" s="482"/>
      <c r="I556" s="482"/>
      <c r="J556" s="482"/>
      <c r="K556" s="482"/>
    </row>
    <row r="557" spans="3:17">
      <c r="D557" s="158"/>
      <c r="E557" s="158"/>
      <c r="F557" s="158"/>
      <c r="G557" s="1120" t="s">
        <v>294</v>
      </c>
      <c r="H557" s="482"/>
      <c r="I557" s="482"/>
      <c r="J557" s="482"/>
      <c r="K557" s="482"/>
    </row>
    <row r="558" spans="3:17">
      <c r="D558" s="158"/>
      <c r="E558" s="158"/>
      <c r="F558" s="158"/>
      <c r="G558" s="1120" t="s">
        <v>1524</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n9ttcq7QKWXZiRM1O99ZF/bPzr3YGI2xxbtj/4rmDVsJdrgthAAfKKY9tk4a9RSOsjbP/gn7+Pp0G7EqpjdT9A==" saltValue="57aipwyYwnAdJD3QSCfLbQ=="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134" priority="79" operator="greaterThan">
      <formula>M153</formula>
    </cfRule>
  </conditionalFormatting>
  <conditionalFormatting sqref="Q92">
    <cfRule type="cellIs" dxfId="133" priority="77" stopIfTrue="1" operator="equal">
      <formula>"* * Check Score! * *"</formula>
    </cfRule>
  </conditionalFormatting>
  <conditionalFormatting sqref="N369:N372">
    <cfRule type="cellIs" dxfId="132" priority="76" stopIfTrue="1" operator="equal">
      <formula>"* * Check Score! * *"</formula>
    </cfRule>
  </conditionalFormatting>
  <conditionalFormatting sqref="R346">
    <cfRule type="cellIs" dxfId="131" priority="68" stopIfTrue="1" operator="equal">
      <formula>"* * Check Score! * *"</formula>
    </cfRule>
  </conditionalFormatting>
  <conditionalFormatting sqref="F63">
    <cfRule type="expression" dxfId="130"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29" priority="36" stopIfTrue="1" operator="equal">
      <formula>"* * Check Score! * *"</formula>
    </cfRule>
  </conditionalFormatting>
  <conditionalFormatting sqref="L359">
    <cfRule type="cellIs" dxfId="128" priority="44" stopIfTrue="1" operator="equal">
      <formula>"* * Check Score! * *"</formula>
    </cfRule>
  </conditionalFormatting>
  <conditionalFormatting sqref="L334">
    <cfRule type="cellIs" dxfId="127" priority="43" stopIfTrue="1" operator="equal">
      <formula>"* * Check Score! * *"</formula>
    </cfRule>
  </conditionalFormatting>
  <conditionalFormatting sqref="L331:L332">
    <cfRule type="cellIs" dxfId="126" priority="42" stopIfTrue="1" operator="equal">
      <formula>"* * Check Score! * *"</formula>
    </cfRule>
  </conditionalFormatting>
  <conditionalFormatting sqref="L317">
    <cfRule type="cellIs" dxfId="125" priority="41" stopIfTrue="1" operator="equal">
      <formula>"* * Check Score! * *"</formula>
    </cfRule>
  </conditionalFormatting>
  <conditionalFormatting sqref="L318">
    <cfRule type="cellIs" dxfId="124" priority="40" stopIfTrue="1" operator="equal">
      <formula>"* * Check Score! * *"</formula>
    </cfRule>
  </conditionalFormatting>
  <conditionalFormatting sqref="L210">
    <cfRule type="cellIs" dxfId="123" priority="39" stopIfTrue="1" operator="equal">
      <formula>"* * Check Score! * *"</formula>
    </cfRule>
  </conditionalFormatting>
  <conditionalFormatting sqref="L207:L208">
    <cfRule type="cellIs" dxfId="122" priority="37" stopIfTrue="1" operator="equal">
      <formula>"* * Check Score! * *"</formula>
    </cfRule>
  </conditionalFormatting>
  <conditionalFormatting sqref="L391">
    <cfRule type="cellIs" dxfId="121" priority="35" stopIfTrue="1" operator="equal">
      <formula>"* * Check Score! * *"</formula>
    </cfRule>
  </conditionalFormatting>
  <conditionalFormatting sqref="L411">
    <cfRule type="cellIs" dxfId="120" priority="34" stopIfTrue="1" operator="equal">
      <formula>"* * Check Score! * *"</formula>
    </cfRule>
  </conditionalFormatting>
  <conditionalFormatting sqref="L384">
    <cfRule type="cellIs" dxfId="119" priority="33" stopIfTrue="1" operator="equal">
      <formula>"* * Check Score! * *"</formula>
    </cfRule>
  </conditionalFormatting>
  <conditionalFormatting sqref="R347">
    <cfRule type="cellIs" dxfId="118" priority="32" stopIfTrue="1" operator="equal">
      <formula>"* * Check Score! * *"</formula>
    </cfRule>
  </conditionalFormatting>
  <conditionalFormatting sqref="L137">
    <cfRule type="cellIs" dxfId="117" priority="27" stopIfTrue="1" operator="equal">
      <formula>"* * Check Score! * *"</formula>
    </cfRule>
  </conditionalFormatting>
  <conditionalFormatting sqref="L115">
    <cfRule type="cellIs" dxfId="116" priority="28" stopIfTrue="1" operator="equal">
      <formula>"* * Check Score! * *"</formula>
    </cfRule>
  </conditionalFormatting>
  <conditionalFormatting sqref="F231:F235">
    <cfRule type="expression" dxfId="115" priority="117">
      <formula>AND($O$126&gt;0,$O$126&lt;4,OR($I$127="Statutory Redevelopment Plan",$I$127="Redevelopment Zone",$I$127="Local Redevelopment Plan"))</formula>
    </cfRule>
  </conditionalFormatting>
  <conditionalFormatting sqref="O52">
    <cfRule type="cellIs" dxfId="114" priority="26" operator="notEqual">
      <formula>$M52</formula>
    </cfRule>
  </conditionalFormatting>
  <conditionalFormatting sqref="L336">
    <cfRule type="cellIs" dxfId="113" priority="24" stopIfTrue="1" operator="equal">
      <formula>"* * Check Score! * *"</formula>
    </cfRule>
  </conditionalFormatting>
  <conditionalFormatting sqref="R348">
    <cfRule type="cellIs" dxfId="112" priority="23" stopIfTrue="1" operator="equal">
      <formula>"* * Check Score! * *"</formula>
    </cfRule>
  </conditionalFormatting>
  <conditionalFormatting sqref="R349">
    <cfRule type="cellIs" dxfId="111" priority="22" stopIfTrue="1" operator="equal">
      <formula>"* * Check Score! * *"</formula>
    </cfRule>
  </conditionalFormatting>
  <conditionalFormatting sqref="L52:L53">
    <cfRule type="containsText" dxfId="110" priority="21" operator="containsText" text="CHOOSE EITHER A OR B, NOT BOTH!">
      <formula>NOT(ISERROR(SEARCH("CHOOSE EITHER A OR B, NOT BOTH!",L52)))</formula>
    </cfRule>
  </conditionalFormatting>
  <conditionalFormatting sqref="O88">
    <cfRule type="cellIs" dxfId="109" priority="19" operator="notEqual">
      <formula>$M88</formula>
    </cfRule>
  </conditionalFormatting>
  <conditionalFormatting sqref="O87">
    <cfRule type="cellIs" dxfId="108" priority="20" operator="notEqual">
      <formula>$M87</formula>
    </cfRule>
  </conditionalFormatting>
  <conditionalFormatting sqref="O89">
    <cfRule type="cellIs" dxfId="107" priority="18" operator="notEqual">
      <formula>$M89</formula>
    </cfRule>
  </conditionalFormatting>
  <conditionalFormatting sqref="O53">
    <cfRule type="cellIs" dxfId="106" priority="7" operator="notEqual">
      <formula>$M53</formula>
    </cfRule>
  </conditionalFormatting>
  <conditionalFormatting sqref="O96">
    <cfRule type="cellIs" dxfId="105" priority="16" operator="notEqual">
      <formula>$M96</formula>
    </cfRule>
  </conditionalFormatting>
  <conditionalFormatting sqref="O95">
    <cfRule type="cellIs" dxfId="104" priority="17" operator="notEqual">
      <formula>$M95</formula>
    </cfRule>
  </conditionalFormatting>
  <conditionalFormatting sqref="O97">
    <cfRule type="cellIs" dxfId="103" priority="15" operator="notEqual">
      <formula>$M97</formula>
    </cfRule>
  </conditionalFormatting>
  <conditionalFormatting sqref="O100">
    <cfRule type="cellIs" dxfId="102" priority="14" operator="notEqual">
      <formula>$M100</formula>
    </cfRule>
  </conditionalFormatting>
  <conditionalFormatting sqref="O109">
    <cfRule type="cellIs" dxfId="101" priority="13" operator="notEqual">
      <formula>$M109</formula>
    </cfRule>
  </conditionalFormatting>
  <conditionalFormatting sqref="O115">
    <cfRule type="cellIs" dxfId="100" priority="12" operator="notEqual">
      <formula>$M115</formula>
    </cfRule>
  </conditionalFormatting>
  <conditionalFormatting sqref="O137">
    <cfRule type="cellIs" dxfId="99" priority="11" operator="notEqual">
      <formula>$M137</formula>
    </cfRule>
  </conditionalFormatting>
  <conditionalFormatting sqref="O206">
    <cfRule type="cellIs" dxfId="98" priority="10" operator="notEqual">
      <formula>$M206</formula>
    </cfRule>
  </conditionalFormatting>
  <conditionalFormatting sqref="O207">
    <cfRule type="cellIs" dxfId="97" priority="9" operator="notEqual">
      <formula>$M207</formula>
    </cfRule>
  </conditionalFormatting>
  <conditionalFormatting sqref="O210">
    <cfRule type="cellIs" dxfId="96" priority="8" operator="notEqual">
      <formula>$M210</formula>
    </cfRule>
  </conditionalFormatting>
  <conditionalFormatting sqref="F236">
    <cfRule type="expression" dxfId="95" priority="6">
      <formula>AND($O$126&gt;0,$O$126&lt;4,OR($I$127="Statutory Redevelopment Plan",$I$127="Redevelopment Zone",$I$127="Local Redevelopment Plan"))</formula>
    </cfRule>
  </conditionalFormatting>
  <conditionalFormatting sqref="R345">
    <cfRule type="cellIs" dxfId="94" priority="5" stopIfTrue="1" operator="equal">
      <formula>"* * Check Score! * *"</formula>
    </cfRule>
  </conditionalFormatting>
  <conditionalFormatting sqref="J49:K49">
    <cfRule type="containsText" dxfId="93" priority="4" operator="containsText" text="&lt;&lt; Select Election or Income Averaging &gt;&gt;">
      <formula>NOT(ISERROR(SEARCH("&lt;&lt; Select Election or Income Averaging &gt;&gt;",J49)))</formula>
    </cfRule>
  </conditionalFormatting>
  <conditionalFormatting sqref="O47">
    <cfRule type="containsText" dxfId="92" priority="3" operator="containsText" text="AorB?">
      <formula>NOT(ISERROR(SEARCH("AorB?",O47)))</formula>
    </cfRule>
  </conditionalFormatting>
  <conditionalFormatting sqref="H88">
    <cfRule type="containsText" dxfId="91" priority="2" operator="containsText" text="Pick A1 or A2!">
      <formula>NOT(ISERROR(SEARCH("Pick A1 or A2!",H88)))</formula>
    </cfRule>
  </conditionalFormatting>
  <conditionalFormatting sqref="F98">
    <cfRule type="containsText" dxfId="90"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866" t="s">
        <v>3994</v>
      </c>
    </row>
    <row r="2" spans="1:6" s="32" customFormat="1" ht="13.5" customHeight="1">
      <c r="A2" s="865" t="str">
        <f>'Part I-Project Information'!$F$34</f>
        <v>Haven at South Atlanta</v>
      </c>
    </row>
    <row r="3" spans="1:6" s="32" customFormat="1" ht="13.5" customHeight="1">
      <c r="A3" s="865" t="str">
        <f>CONCATENATE('Part I-Project Information'!$F$38,", ", 'Part I-Project Information'!$J$39," County")</f>
        <v>Atlanta, Fulton County</v>
      </c>
    </row>
    <row r="4" spans="1:6" ht="6.75" customHeight="1"/>
    <row r="5" spans="1:6" ht="113.25" customHeight="1">
      <c r="A5" s="3828" t="s">
        <v>3995</v>
      </c>
      <c r="B5" s="3829" t="s">
        <v>3996</v>
      </c>
      <c r="C5" s="3829"/>
      <c r="D5" s="3829"/>
      <c r="E5" s="3829"/>
      <c r="F5" s="3829"/>
    </row>
    <row r="6" spans="1:6" ht="6.6" customHeight="1">
      <c r="A6" s="3828"/>
      <c r="B6" s="3829"/>
      <c r="C6" s="3829"/>
      <c r="D6" s="3829"/>
      <c r="E6" s="3829"/>
      <c r="F6" s="3829"/>
    </row>
    <row r="7" spans="1:6" ht="134.25" customHeight="1">
      <c r="A7" s="3828"/>
      <c r="B7" s="3829"/>
      <c r="C7" s="3829"/>
      <c r="D7" s="3829"/>
      <c r="E7" s="3829"/>
      <c r="F7" s="3829"/>
    </row>
    <row r="8" spans="1:6" ht="6.6" customHeight="1">
      <c r="A8" s="3828"/>
    </row>
    <row r="9" spans="1:6" ht="111" customHeight="1">
      <c r="A9" s="3828"/>
    </row>
    <row r="10" spans="1:6" ht="6.6" customHeight="1">
      <c r="A10" s="3828"/>
    </row>
    <row r="11" spans="1:6" ht="111" customHeight="1">
      <c r="A11" s="3828"/>
    </row>
    <row r="12" spans="1:6" ht="6.6" customHeight="1">
      <c r="A12" s="3828"/>
    </row>
    <row r="13" spans="1:6" ht="111" customHeight="1">
      <c r="A13" s="3828"/>
    </row>
    <row r="14" spans="1:6" ht="6.6" customHeight="1">
      <c r="A14" s="3828"/>
    </row>
    <row r="15" spans="1:6" ht="111" customHeight="1">
      <c r="A15" s="3828"/>
    </row>
    <row r="16" spans="1:6" ht="6.6" customHeight="1">
      <c r="A16" s="3828"/>
    </row>
    <row r="17" spans="1:1" ht="111" customHeight="1">
      <c r="A17" s="3828"/>
    </row>
    <row r="18" spans="1:1" ht="6.6" customHeight="1">
      <c r="A18" s="3828"/>
    </row>
    <row r="19" spans="1:1" ht="105.75" customHeight="1">
      <c r="A19" s="3828"/>
    </row>
    <row r="20" spans="1:1" ht="6.6" customHeight="1">
      <c r="A20" s="3828"/>
    </row>
    <row r="21" spans="1:1" ht="105.75" customHeight="1">
      <c r="A21" s="3828"/>
    </row>
    <row r="22" spans="1:1" ht="6.6" customHeight="1">
      <c r="A22" s="3828"/>
    </row>
    <row r="23" spans="1:1" ht="105.75" customHeight="1">
      <c r="A23" s="3828"/>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230" customWidth="1"/>
    <col min="2" max="11" width="10.5546875" style="1230" customWidth="1"/>
    <col min="12" max="12" width="9.88671875" style="1230" customWidth="1"/>
    <col min="13" max="21" width="10.5546875" style="1230" customWidth="1"/>
    <col min="22" max="16384" width="9.109375" style="1230"/>
  </cols>
  <sheetData>
    <row r="1" spans="1:7" ht="3" customHeight="1"/>
    <row r="2" spans="1:7">
      <c r="A2" s="1229" t="s">
        <v>3997</v>
      </c>
    </row>
    <row r="3" spans="1:7" ht="3" customHeight="1"/>
    <row r="4" spans="1:7">
      <c r="A4" s="1230" t="s">
        <v>3998</v>
      </c>
      <c r="B4" s="1231">
        <f>+'Part IV-A-Uses of Funds'!$G$132</f>
        <v>15872847</v>
      </c>
    </row>
    <row r="5" spans="1:7">
      <c r="A5" s="1230" t="s">
        <v>4029</v>
      </c>
      <c r="B5" s="1231">
        <f>+B18+B26+B38</f>
        <v>1973219.7517477211</v>
      </c>
    </row>
    <row r="6" spans="1:7">
      <c r="A6" s="1230" t="s">
        <v>3999</v>
      </c>
      <c r="B6" s="1232">
        <f>+B5-B4</f>
        <v>-13899627.248252278</v>
      </c>
    </row>
    <row r="7" spans="1:7">
      <c r="A7" s="1230" t="s">
        <v>4000</v>
      </c>
      <c r="B7" s="1233">
        <f>+B6/B4</f>
        <v>-0.87568583306147152</v>
      </c>
    </row>
    <row r="8" spans="1:7" ht="9" customHeight="1"/>
    <row r="9" spans="1:7">
      <c r="A9" s="1230" t="s">
        <v>4001</v>
      </c>
      <c r="B9" s="1231">
        <f>+B18+B26+B33</f>
        <v>1973219.7517477211</v>
      </c>
    </row>
    <row r="10" spans="1:7">
      <c r="A10" s="1230" t="s">
        <v>3999</v>
      </c>
      <c r="B10" s="1232">
        <f>+B9-B4</f>
        <v>-13899627.248252278</v>
      </c>
    </row>
    <row r="11" spans="1:7">
      <c r="A11" s="1230" t="s">
        <v>4000</v>
      </c>
      <c r="B11" s="1233">
        <f>+B10/B4</f>
        <v>-0.87568583306147152</v>
      </c>
    </row>
    <row r="12" spans="1:7" ht="24" customHeight="1"/>
    <row r="13" spans="1:7">
      <c r="A13" s="1229" t="s">
        <v>4002</v>
      </c>
      <c r="D13" s="1300" t="s">
        <v>4260</v>
      </c>
      <c r="E13" s="1301"/>
    </row>
    <row r="14" spans="1:7">
      <c r="A14" s="1230" t="s">
        <v>4003</v>
      </c>
      <c r="B14" s="1234">
        <f>+SUM('Part III-Sources of Funds'!L49:M50)</f>
        <v>12272846.300000001</v>
      </c>
      <c r="D14" s="1301"/>
      <c r="E14" s="1301"/>
    </row>
    <row r="15" spans="1:7">
      <c r="A15" s="1230" t="s">
        <v>4004</v>
      </c>
      <c r="B15" s="1235">
        <f>+'Part IV-A-Uses of Funds'!J167</f>
        <v>1227284.7</v>
      </c>
      <c r="D15" s="1301" t="s">
        <v>2019</v>
      </c>
      <c r="G15" s="1302">
        <f>'Part IV-A-Uses of Funds'!J155</f>
        <v>14908303.607142858</v>
      </c>
    </row>
    <row r="16" spans="1:7" ht="12.75" customHeight="1">
      <c r="D16" s="1301" t="s">
        <v>4261</v>
      </c>
      <c r="G16" s="1306">
        <v>3.2800000000000003E-2</v>
      </c>
    </row>
    <row r="17" spans="1:7" ht="12.75" customHeight="1">
      <c r="A17" s="1230" t="s">
        <v>4005</v>
      </c>
      <c r="B17" s="1305">
        <v>1.45</v>
      </c>
      <c r="D17" s="1301" t="s">
        <v>4262</v>
      </c>
      <c r="G17" s="1307">
        <v>1.45</v>
      </c>
    </row>
    <row r="18" spans="1:7" ht="12.75" customHeight="1">
      <c r="A18" s="1230" t="s">
        <v>4006</v>
      </c>
      <c r="B18" s="1236">
        <f>+'Part IV-A-Uses of Funds'!J174*B17*10</f>
        <v>0</v>
      </c>
      <c r="D18" s="1301" t="s">
        <v>4263</v>
      </c>
      <c r="G18" s="1307">
        <v>3.28</v>
      </c>
    </row>
    <row r="19" spans="1:7" ht="12.75" customHeight="1">
      <c r="D19" s="1301" t="s">
        <v>4264</v>
      </c>
      <c r="G19" s="1303">
        <f>+G15*G16*G17*10</f>
        <v>7090389.1955571435</v>
      </c>
    </row>
    <row r="20" spans="1:7">
      <c r="A20" s="1230" t="s">
        <v>4007</v>
      </c>
      <c r="B20" s="1234">
        <f>+B18-B14</f>
        <v>-12272846.300000001</v>
      </c>
      <c r="D20" s="1301" t="s">
        <v>4265</v>
      </c>
      <c r="G20" s="1304">
        <f>+B14-G19</f>
        <v>5182457.1044428572</v>
      </c>
    </row>
    <row r="21" spans="1:7">
      <c r="A21" s="1230" t="s">
        <v>4008</v>
      </c>
      <c r="B21" s="1233">
        <f>+B20/B14</f>
        <v>-1</v>
      </c>
      <c r="D21" s="1301" t="s">
        <v>4266</v>
      </c>
      <c r="G21" s="1301" t="str">
        <f>+IF(G20&gt;(B28+B35),"No","Yes")</f>
        <v>No</v>
      </c>
    </row>
    <row r="22" spans="1:7" ht="24" customHeight="1"/>
    <row r="23" spans="1:7">
      <c r="A23" s="1229" t="s">
        <v>4009</v>
      </c>
    </row>
    <row r="24" spans="1:7">
      <c r="A24" s="1230" t="s">
        <v>4010</v>
      </c>
      <c r="B24" s="1237">
        <f>+SUM('Part III-Sources of Funds'!I38:J41)</f>
        <v>3600000</v>
      </c>
    </row>
    <row r="25" spans="1:7">
      <c r="A25" s="1230" t="s">
        <v>4011</v>
      </c>
      <c r="B25" s="1238">
        <f>IF('Part III-Sources of Funds'!E5="Yes","N/A",MAX(B46:P46))</f>
        <v>686.03155885264277</v>
      </c>
    </row>
    <row r="26" spans="1:7">
      <c r="A26" s="1230" t="s">
        <v>4012</v>
      </c>
      <c r="B26" s="1228">
        <f>IFERROR(PV('Part III-Sources of Funds'!K38,'Part III-Sources of Funds'!L38,B25+B45),B24)</f>
        <v>1973219.7517477211</v>
      </c>
    </row>
    <row r="27" spans="1:7" ht="9" customHeight="1">
      <c r="B27" s="1228"/>
    </row>
    <row r="28" spans="1:7">
      <c r="A28" s="1230" t="s">
        <v>4013</v>
      </c>
      <c r="B28" s="1239">
        <f>+B26-B24</f>
        <v>-1626780.2482522789</v>
      </c>
      <c r="C28" s="1240"/>
    </row>
    <row r="29" spans="1:7">
      <c r="A29" s="1230" t="s">
        <v>4008</v>
      </c>
      <c r="B29" s="1241">
        <f>+B28/B24</f>
        <v>-0.45188340229229967</v>
      </c>
    </row>
    <row r="30" spans="1:7" ht="24" customHeight="1"/>
    <row r="31" spans="1:7">
      <c r="A31" s="1229" t="s">
        <v>3901</v>
      </c>
    </row>
    <row r="32" spans="1:7">
      <c r="A32" s="1230" t="s">
        <v>4014</v>
      </c>
      <c r="B32" s="1242">
        <f>+'Part III-Sources of Funds'!I43</f>
        <v>0</v>
      </c>
    </row>
    <row r="33" spans="1:11">
      <c r="A33" s="1230" t="s">
        <v>4015</v>
      </c>
      <c r="B33" s="1228"/>
    </row>
    <row r="34" spans="1:11" ht="9" customHeight="1">
      <c r="B34" s="1228"/>
    </row>
    <row r="35" spans="1:11">
      <c r="A35" s="1230" t="s">
        <v>4016</v>
      </c>
      <c r="B35" s="1242">
        <f>+B33-B32</f>
        <v>0</v>
      </c>
    </row>
    <row r="36" spans="1:11">
      <c r="A36" s="1230" t="s">
        <v>4017</v>
      </c>
      <c r="B36" s="1227" t="e">
        <f>+B35/B32</f>
        <v>#DIV/0!</v>
      </c>
    </row>
    <row r="37" spans="1:11" ht="24" customHeight="1">
      <c r="B37" s="1228"/>
    </row>
    <row r="38" spans="1:11">
      <c r="A38" s="1229" t="s">
        <v>4018</v>
      </c>
      <c r="B38" s="1228">
        <f>+SUM('Part III-Sources of Funds'!I42,'Part III-Sources of Funds'!I47,'Part III-Sources of Funds'!I48,'Part III-Sources of Funds'!I51:I57)</f>
        <v>0</v>
      </c>
    </row>
    <row r="39" spans="1:11">
      <c r="B39" s="1228"/>
    </row>
    <row r="40" spans="1:11">
      <c r="B40" s="1228"/>
    </row>
    <row r="41" spans="1:11">
      <c r="B41" s="1228"/>
    </row>
    <row r="42" spans="1:11">
      <c r="A42" s="1229" t="s">
        <v>4019</v>
      </c>
      <c r="B42" s="1228"/>
    </row>
    <row r="43" spans="1:11">
      <c r="A43" s="1230" t="s">
        <v>2448</v>
      </c>
      <c r="B43" s="1308">
        <v>1</v>
      </c>
      <c r="C43" s="1308">
        <v>2</v>
      </c>
      <c r="D43" s="1308">
        <v>3</v>
      </c>
      <c r="E43" s="1308">
        <v>4</v>
      </c>
      <c r="F43" s="1308">
        <v>5</v>
      </c>
      <c r="G43" s="1308">
        <v>6</v>
      </c>
      <c r="H43" s="1308">
        <v>7</v>
      </c>
      <c r="I43" s="1308">
        <v>8</v>
      </c>
      <c r="J43" s="1308">
        <v>9</v>
      </c>
      <c r="K43" s="1308">
        <v>10</v>
      </c>
    </row>
    <row r="44" spans="1:11">
      <c r="A44" s="1230" t="s">
        <v>1188</v>
      </c>
      <c r="B44" s="1231">
        <f>+'Part VII-Pro Forma'!B24</f>
        <v>251828.89439999999</v>
      </c>
      <c r="C44" s="1231">
        <f>+'Part VII-Pro Forma'!C24</f>
        <v>252458.232288</v>
      </c>
      <c r="D44" s="1231">
        <f>+'Part VII-Pro Forma'!D24</f>
        <v>252967.51973376001</v>
      </c>
      <c r="E44" s="1231">
        <f>+'Part VII-Pro Forma'!E24</f>
        <v>253351.6892124351</v>
      </c>
      <c r="F44" s="1231">
        <f>+'Part VII-Pro Forma'!F24</f>
        <v>253602.43285320388</v>
      </c>
      <c r="G44" s="1231">
        <f>+'Part VII-Pro Forma'!G24</f>
        <v>253714.19406248364</v>
      </c>
      <c r="H44" s="1231">
        <f>+'Part VII-Pro Forma'!H24</f>
        <v>253679.15887251531</v>
      </c>
      <c r="I44" s="1231">
        <f>+'Part VII-Pro Forma'!I24</f>
        <v>253490.247006611</v>
      </c>
      <c r="J44" s="1231">
        <f>+'Part VII-Pro Forma'!J24</f>
        <v>253140.10265208827</v>
      </c>
      <c r="K44" s="1231">
        <f>+'Part VII-Pro Forma'!K24</f>
        <v>252620.08493163533</v>
      </c>
    </row>
    <row r="45" spans="1:11">
      <c r="A45" s="1230" t="s">
        <v>4020</v>
      </c>
      <c r="B45" s="1231">
        <f>SUM('Part VII-Pro Forma'!B25:B28)</f>
        <v>-210543.44355885265</v>
      </c>
      <c r="C45" s="1231">
        <f>SUM('Part VII-Pro Forma'!C25:C28)</f>
        <v>-210543.44355885265</v>
      </c>
      <c r="D45" s="1231">
        <f>SUM('Part VII-Pro Forma'!D25:D28)</f>
        <v>-210543.44355885265</v>
      </c>
      <c r="E45" s="1231">
        <f>SUM('Part VII-Pro Forma'!E25:E28)</f>
        <v>-210543.44355885265</v>
      </c>
      <c r="F45" s="1231">
        <f>SUM('Part VII-Pro Forma'!F25:F28)</f>
        <v>-210543.44355885265</v>
      </c>
      <c r="G45" s="1231">
        <f>SUM('Part VII-Pro Forma'!G25:G28)</f>
        <v>-210543.44355885265</v>
      </c>
      <c r="H45" s="1231">
        <f>SUM('Part VII-Pro Forma'!H25:H28)</f>
        <v>-210543.44355885265</v>
      </c>
      <c r="I45" s="1231">
        <f>SUM('Part VII-Pro Forma'!I25:I28)</f>
        <v>-210543.44355885265</v>
      </c>
      <c r="J45" s="1231">
        <f>SUM('Part VII-Pro Forma'!J25:J28)</f>
        <v>-210543.44355885265</v>
      </c>
      <c r="K45" s="1231">
        <f>SUM('Part VII-Pro Forma'!K25:K28)</f>
        <v>-210543.44355885265</v>
      </c>
    </row>
    <row r="46" spans="1:11">
      <c r="A46" s="1230" t="s">
        <v>4021</v>
      </c>
      <c r="B46" s="1232">
        <f t="shared" ref="B46:K46" si="0">-B44/B48-B45</f>
        <v>686.03155885264277</v>
      </c>
      <c r="C46" s="1232">
        <f t="shared" si="0"/>
        <v>161.58331885264488</v>
      </c>
      <c r="D46" s="1232">
        <f t="shared" si="0"/>
        <v>-262.82288594736019</v>
      </c>
      <c r="E46" s="1232">
        <f t="shared" si="0"/>
        <v>-582.96411817660555</v>
      </c>
      <c r="F46" s="1232">
        <f t="shared" si="0"/>
        <v>-791.9171521505923</v>
      </c>
      <c r="G46" s="1232">
        <f t="shared" si="0"/>
        <v>-885.05149321706267</v>
      </c>
      <c r="H46" s="1232">
        <f t="shared" si="0"/>
        <v>-855.85550157679245</v>
      </c>
      <c r="I46" s="1232">
        <f t="shared" si="0"/>
        <v>-698.4289466565242</v>
      </c>
      <c r="J46" s="1232">
        <f t="shared" si="0"/>
        <v>-406.64198455424048</v>
      </c>
      <c r="K46" s="1232">
        <f t="shared" si="0"/>
        <v>26.706115823209984</v>
      </c>
    </row>
    <row r="48" spans="1:11">
      <c r="A48" s="1230" t="s">
        <v>4022</v>
      </c>
      <c r="B48" s="1230">
        <f>IF(B82="NC",1.2,1.25)</f>
        <v>1.2</v>
      </c>
      <c r="C48" s="1230">
        <f>+B48</f>
        <v>1.2</v>
      </c>
      <c r="D48" s="1230">
        <f t="shared" ref="D48:K48" si="1">+C48</f>
        <v>1.2</v>
      </c>
      <c r="E48" s="1230">
        <f t="shared" si="1"/>
        <v>1.2</v>
      </c>
      <c r="F48" s="1230">
        <f t="shared" si="1"/>
        <v>1.2</v>
      </c>
      <c r="G48" s="1230">
        <f t="shared" si="1"/>
        <v>1.2</v>
      </c>
      <c r="H48" s="1230">
        <f t="shared" si="1"/>
        <v>1.2</v>
      </c>
      <c r="I48" s="1230">
        <f t="shared" si="1"/>
        <v>1.2</v>
      </c>
      <c r="J48" s="1230">
        <f t="shared" si="1"/>
        <v>1.2</v>
      </c>
      <c r="K48" s="1230">
        <f t="shared" si="1"/>
        <v>1.2</v>
      </c>
    </row>
    <row r="50" spans="1:17">
      <c r="A50" s="1229" t="s">
        <v>1151</v>
      </c>
    </row>
    <row r="51" spans="1:17">
      <c r="A51" s="1230" t="s">
        <v>1188</v>
      </c>
      <c r="B51" s="1232">
        <f>+B44</f>
        <v>251828.89439999999</v>
      </c>
      <c r="C51" s="1232">
        <f t="shared" ref="C51:K51" si="2">+C44</f>
        <v>252458.232288</v>
      </c>
      <c r="D51" s="1232">
        <f t="shared" si="2"/>
        <v>252967.51973376001</v>
      </c>
      <c r="E51" s="1232">
        <f t="shared" si="2"/>
        <v>253351.6892124351</v>
      </c>
      <c r="F51" s="1232">
        <f t="shared" si="2"/>
        <v>253602.43285320388</v>
      </c>
      <c r="G51" s="1232">
        <f t="shared" si="2"/>
        <v>253714.19406248364</v>
      </c>
      <c r="H51" s="1232">
        <f t="shared" si="2"/>
        <v>253679.15887251531</v>
      </c>
      <c r="I51" s="1232">
        <f t="shared" si="2"/>
        <v>253490.247006611</v>
      </c>
      <c r="J51" s="1232">
        <f t="shared" si="2"/>
        <v>253140.10265208827</v>
      </c>
      <c r="K51" s="1232">
        <f t="shared" si="2"/>
        <v>252620.08493163533</v>
      </c>
    </row>
    <row r="52" spans="1:17">
      <c r="A52" s="1230" t="s">
        <v>4023</v>
      </c>
      <c r="B52" s="1232">
        <f>IF($B$25="N/A",B45,B45+$B$25)</f>
        <v>-209857.41200000001</v>
      </c>
      <c r="C52" s="1232">
        <f t="shared" ref="C52:K52" si="3">IF($B$25="N/A",C45,C45+$B$25)</f>
        <v>-209857.41200000001</v>
      </c>
      <c r="D52" s="1232">
        <f t="shared" si="3"/>
        <v>-209857.41200000001</v>
      </c>
      <c r="E52" s="1232">
        <f t="shared" si="3"/>
        <v>-209857.41200000001</v>
      </c>
      <c r="F52" s="1232">
        <f t="shared" si="3"/>
        <v>-209857.41200000001</v>
      </c>
      <c r="G52" s="1232">
        <f t="shared" si="3"/>
        <v>-209857.41200000001</v>
      </c>
      <c r="H52" s="1232">
        <f t="shared" si="3"/>
        <v>-209857.41200000001</v>
      </c>
      <c r="I52" s="1232">
        <f t="shared" si="3"/>
        <v>-209857.41200000001</v>
      </c>
      <c r="J52" s="1232">
        <f t="shared" si="3"/>
        <v>-209857.41200000001</v>
      </c>
      <c r="K52" s="1232">
        <f t="shared" si="3"/>
        <v>-209857.41200000001</v>
      </c>
    </row>
    <row r="53" spans="1:17">
      <c r="A53" s="1230" t="s">
        <v>4024</v>
      </c>
      <c r="B53" s="1231">
        <f>+'Part VII-Pro Forma'!B30</f>
        <v>-10000</v>
      </c>
      <c r="C53" s="1231">
        <f>+'Part VII-Pro Forma'!C30</f>
        <v>-10000</v>
      </c>
      <c r="D53" s="1231">
        <f>+'Part VII-Pro Forma'!D30</f>
        <v>-10000</v>
      </c>
      <c r="E53" s="1231">
        <f>+'Part VII-Pro Forma'!E30</f>
        <v>-10000</v>
      </c>
      <c r="F53" s="1231">
        <f>+'Part VII-Pro Forma'!F30</f>
        <v>-10000</v>
      </c>
      <c r="G53" s="1231">
        <f>+'Part VII-Pro Forma'!G30</f>
        <v>-10000</v>
      </c>
      <c r="H53" s="1231">
        <f>+'Part VII-Pro Forma'!H30</f>
        <v>-10000</v>
      </c>
      <c r="I53" s="1231">
        <f>+'Part VII-Pro Forma'!I30</f>
        <v>-10000</v>
      </c>
      <c r="J53" s="1231">
        <f>+'Part VII-Pro Forma'!J30</f>
        <v>-10000</v>
      </c>
      <c r="K53" s="1231">
        <f>+'Part VII-Pro Forma'!K30</f>
        <v>-10000</v>
      </c>
    </row>
    <row r="54" spans="1:17">
      <c r="A54" s="1230" t="s">
        <v>4025</v>
      </c>
      <c r="B54" s="1232">
        <f>+SUM(B51:B53)</f>
        <v>31971.482399999979</v>
      </c>
      <c r="C54" s="1232">
        <f t="shared" ref="C54:K54" si="4">+SUM(C51:C53)</f>
        <v>32600.820287999988</v>
      </c>
      <c r="D54" s="1232">
        <f t="shared" si="4"/>
        <v>33110.10773376</v>
      </c>
      <c r="E54" s="1232">
        <f t="shared" si="4"/>
        <v>33494.277212435089</v>
      </c>
      <c r="F54" s="1232">
        <f t="shared" si="4"/>
        <v>33745.020853203867</v>
      </c>
      <c r="G54" s="1232">
        <f t="shared" si="4"/>
        <v>33856.782062483631</v>
      </c>
      <c r="H54" s="1232">
        <f t="shared" si="4"/>
        <v>33821.746872515301</v>
      </c>
      <c r="I54" s="1232">
        <f t="shared" si="4"/>
        <v>33632.835006610985</v>
      </c>
      <c r="J54" s="1232">
        <f t="shared" si="4"/>
        <v>33282.690652088262</v>
      </c>
      <c r="K54" s="1232">
        <f t="shared" si="4"/>
        <v>32762.672931635316</v>
      </c>
    </row>
    <row r="55" spans="1:17">
      <c r="A55" s="1230" t="s">
        <v>3901</v>
      </c>
      <c r="B55" s="1232">
        <f>-B54</f>
        <v>-31971.482399999979</v>
      </c>
      <c r="C55" s="1232">
        <f t="shared" ref="C55:K55" si="5">-C54</f>
        <v>-32600.820287999988</v>
      </c>
      <c r="D55" s="1232">
        <f t="shared" si="5"/>
        <v>-33110.10773376</v>
      </c>
      <c r="E55" s="1232">
        <f t="shared" si="5"/>
        <v>-33494.277212435089</v>
      </c>
      <c r="F55" s="1232">
        <f t="shared" si="5"/>
        <v>-33745.020853203867</v>
      </c>
      <c r="G55" s="1232">
        <f t="shared" si="5"/>
        <v>-33856.782062483631</v>
      </c>
      <c r="H55" s="1232">
        <f t="shared" si="5"/>
        <v>-33821.746872515301</v>
      </c>
      <c r="I55" s="1232">
        <f t="shared" si="5"/>
        <v>-33632.835006610985</v>
      </c>
      <c r="J55" s="1232">
        <f t="shared" si="5"/>
        <v>-33282.690652088262</v>
      </c>
      <c r="K55" s="1232">
        <f t="shared" si="5"/>
        <v>-32762.672931635316</v>
      </c>
    </row>
    <row r="56" spans="1:17">
      <c r="A56" s="1230" t="s">
        <v>4026</v>
      </c>
      <c r="B56" s="1232">
        <f>+B54+B55</f>
        <v>0</v>
      </c>
      <c r="C56" s="1232">
        <f t="shared" ref="C56:K56" si="6">+C54+C55</f>
        <v>0</v>
      </c>
      <c r="D56" s="1232">
        <f t="shared" si="6"/>
        <v>0</v>
      </c>
      <c r="E56" s="1232">
        <f t="shared" si="6"/>
        <v>0</v>
      </c>
      <c r="F56" s="1232">
        <f t="shared" si="6"/>
        <v>0</v>
      </c>
      <c r="G56" s="1232">
        <f t="shared" si="6"/>
        <v>0</v>
      </c>
      <c r="H56" s="1232">
        <f t="shared" si="6"/>
        <v>0</v>
      </c>
      <c r="I56" s="1232">
        <f t="shared" si="6"/>
        <v>0</v>
      </c>
      <c r="J56" s="1232">
        <f t="shared" si="6"/>
        <v>0</v>
      </c>
      <c r="K56" s="1232">
        <f t="shared" si="6"/>
        <v>0</v>
      </c>
    </row>
    <row r="58" spans="1:17">
      <c r="A58" s="1230" t="s">
        <v>4027</v>
      </c>
      <c r="B58" s="1231">
        <f>IF($B$26="","",-FV('Part III-Sources of Funds'!$K$38/12,12,B52/12,B26))</f>
        <v>1889146.2477287147</v>
      </c>
      <c r="C58" s="1231">
        <f>IF($B$26="","",-FV('Part III-Sources of Funds'!$K$38/12,12,C52/12,B58))</f>
        <v>1799442.1854412123</v>
      </c>
      <c r="D58" s="1231">
        <f>IF($B$26="","",-FV('Part III-Sources of Funds'!$K$38/12,12,D52/12,C58))</f>
        <v>1703730.4759701644</v>
      </c>
      <c r="E58" s="1231">
        <f>IF($B$26="","",-FV('Part III-Sources of Funds'!$K$38/12,12,E52/12,D58))</f>
        <v>1601608.7760575111</v>
      </c>
      <c r="F58" s="1231">
        <f>IF($B$26="","",-FV('Part III-Sources of Funds'!$K$38/12,12,F52/12,E58))</f>
        <v>1492647.7967720595</v>
      </c>
      <c r="G58" s="1231">
        <f>IF($B$26="","",-FV('Part III-Sources of Funds'!$K$38/12,12,G52/12,F58))</f>
        <v>1376389.4989078504</v>
      </c>
      <c r="H58" s="1231">
        <f>IF($B$26="","",-FV('Part III-Sources of Funds'!$K$38/12,12,H52/12,G58))</f>
        <v>1252345.1675250118</v>
      </c>
      <c r="I58" s="1231">
        <f>IF($B$26="","",-FV('Part III-Sources of Funds'!$K$38/12,12,I52/12,H58))</f>
        <v>1119993.3575390475</v>
      </c>
      <c r="J58" s="1231">
        <f>IF($B$26="","",-FV('Part III-Sources of Funds'!$K$38/12,12,J52/12,I58))</f>
        <v>978777.70172243449</v>
      </c>
      <c r="K58" s="1231">
        <f>IF($B$26="","",-FV('Part III-Sources of Funds'!$K$38/12,12,K52/12,J58))</f>
        <v>828104.57190402923</v>
      </c>
    </row>
    <row r="59" spans="1:17">
      <c r="A59" s="1230" t="s">
        <v>3902</v>
      </c>
      <c r="B59" s="1231" t="str">
        <f>IF(B33="","",-FV('Part III-Sources of Funds'!$K$43/12,12,B55/12,B33))</f>
        <v/>
      </c>
      <c r="C59" s="1231" t="str">
        <f>IF($B$33="","",-FV('Part III-Sources of Funds'!$K$43/12,12,C55/12,B59))</f>
        <v/>
      </c>
      <c r="D59" s="1231" t="str">
        <f>IF($B$33="","",-FV('Part III-Sources of Funds'!$K$43/12,12,D55/12,C59))</f>
        <v/>
      </c>
      <c r="E59" s="1231" t="str">
        <f>IF($B$33="","",-FV('Part III-Sources of Funds'!$K$43/12,12,E55/12,D59))</f>
        <v/>
      </c>
      <c r="F59" s="1231" t="str">
        <f>IF($B$33="","",-FV('Part III-Sources of Funds'!$K$43/12,12,F55/12,E59))</f>
        <v/>
      </c>
      <c r="G59" s="1231" t="str">
        <f>IF($B$33="","",-FV('Part III-Sources of Funds'!$K$43/12,12,G55/12,F59))</f>
        <v/>
      </c>
      <c r="H59" s="1231" t="str">
        <f>IF($B$33="","",-FV('Part III-Sources of Funds'!$K$43/12,12,H55/12,G59))</f>
        <v/>
      </c>
      <c r="I59" s="1231" t="str">
        <f>IF($B$33="","",-FV('Part III-Sources of Funds'!$K$43/12,12,I55/12,H59))</f>
        <v/>
      </c>
      <c r="J59" s="1231" t="str">
        <f>IF($B$33="","",-FV('Part III-Sources of Funds'!$K$43/12,12,J55/12,I59))</f>
        <v/>
      </c>
      <c r="K59" s="1231" t="str">
        <f>IF($B$33="","",-FV('Part III-Sources of Funds'!$K$43/12,12,K55/12,J59))</f>
        <v/>
      </c>
      <c r="L59" s="1231" t="str">
        <f>IF($B$33="","",-FV('Part III-Sources of Funds'!$K$43/12,12,B75/12,K59))</f>
        <v/>
      </c>
      <c r="M59" s="1231" t="str">
        <f>IF($B$33="","",-FV('Part III-Sources of Funds'!$K$43/12,12,C75/12,L59))</f>
        <v/>
      </c>
      <c r="N59" s="1231" t="str">
        <f>IF($B$33="","",-FV('Part III-Sources of Funds'!$K$43/12,12,D75/12,M59))</f>
        <v/>
      </c>
      <c r="O59" s="1231" t="str">
        <f>IF($B$33="","",-FV('Part III-Sources of Funds'!$K$43/12,12,E75/12,N59))</f>
        <v/>
      </c>
      <c r="P59" s="1231" t="str">
        <f>IF($B$33="","",-FV('Part III-Sources of Funds'!$K$43/12,12,F75/12,O59))</f>
        <v/>
      </c>
      <c r="Q59" s="1231"/>
    </row>
    <row r="60" spans="1:17" ht="18.75" customHeight="1"/>
    <row r="61" spans="1:17" ht="18.75" customHeight="1"/>
    <row r="62" spans="1:17">
      <c r="A62" s="1229" t="s">
        <v>4019</v>
      </c>
    </row>
    <row r="63" spans="1:17">
      <c r="A63" s="1230" t="s">
        <v>2448</v>
      </c>
      <c r="B63" s="1308">
        <v>11</v>
      </c>
      <c r="C63" s="1308">
        <v>12</v>
      </c>
      <c r="D63" s="1308">
        <v>13</v>
      </c>
      <c r="E63" s="1308">
        <v>14</v>
      </c>
      <c r="F63" s="1308">
        <v>15</v>
      </c>
      <c r="G63" s="1308">
        <v>16</v>
      </c>
      <c r="H63" s="1308">
        <v>17</v>
      </c>
      <c r="I63" s="1308">
        <v>18</v>
      </c>
      <c r="J63" s="1308">
        <v>19</v>
      </c>
      <c r="K63" s="1308">
        <v>20</v>
      </c>
    </row>
    <row r="64" spans="1:17">
      <c r="A64" s="1230" t="s">
        <v>1188</v>
      </c>
      <c r="B64" s="1231">
        <f>+'Part VII-Pro Forma'!B56</f>
        <v>251921.25806356841</v>
      </c>
      <c r="C64" s="1231">
        <f>+'Part VII-Pro Forma'!C56</f>
        <v>251037.38120113901</v>
      </c>
      <c r="D64" s="1231">
        <f>+'Part VII-Pro Forma'!D56</f>
        <v>249956.89794075044</v>
      </c>
      <c r="E64" s="1231">
        <f>+'Part VII-Pro Forma'!E56</f>
        <v>248672.92548862146</v>
      </c>
      <c r="F64" s="1231">
        <f>+'Part VII-Pro Forma'!F56</f>
        <v>247174.24347512165</v>
      </c>
      <c r="G64" s="1231">
        <f>+'Part VII-Pro Forma'!G56</f>
        <v>245451.28240565333</v>
      </c>
      <c r="H64" s="1231">
        <f>+'Part VII-Pro Forma'!H56</f>
        <v>243494.1117366273</v>
      </c>
      <c r="I64" s="1231">
        <f>+'Part VII-Pro Forma'!I56</f>
        <v>241291.42756470613</v>
      </c>
      <c r="J64" s="1231">
        <f>+'Part VII-Pro Forma'!J56</f>
        <v>238832.53991714679</v>
      </c>
      <c r="K64" s="1231">
        <f>+'Part VII-Pro Forma'!K56</f>
        <v>236106.35963067066</v>
      </c>
    </row>
    <row r="65" spans="1:11">
      <c r="A65" s="1230" t="s">
        <v>4020</v>
      </c>
      <c r="B65" s="1231">
        <f>SUM('Part VII-Pro Forma'!B57:B60)</f>
        <v>-210543.44355885265</v>
      </c>
      <c r="C65" s="1231">
        <f>SUM('Part VII-Pro Forma'!C57:C60)</f>
        <v>-210543.44355885265</v>
      </c>
      <c r="D65" s="1231">
        <f>SUM('Part VII-Pro Forma'!D57:D60)</f>
        <v>-210543.44355885265</v>
      </c>
      <c r="E65" s="1231">
        <f>SUM('Part VII-Pro Forma'!E57:E60)</f>
        <v>-210543.44355885265</v>
      </c>
      <c r="F65" s="1231">
        <f>SUM('Part VII-Pro Forma'!F57:F60)</f>
        <v>-210543.44355885265</v>
      </c>
      <c r="G65" s="1231">
        <f>SUM('Part VII-Pro Forma'!G57:G60)</f>
        <v>-210543.44355885265</v>
      </c>
      <c r="H65" s="1231">
        <f>SUM('Part VII-Pro Forma'!H57:H60)</f>
        <v>-210543.44355885265</v>
      </c>
      <c r="I65" s="1231">
        <f>SUM('Part VII-Pro Forma'!I57:I60)</f>
        <v>-210543.44355885265</v>
      </c>
      <c r="J65" s="1231">
        <f>SUM('Part VII-Pro Forma'!J57:J60)</f>
        <v>-210543.44355885265</v>
      </c>
      <c r="K65" s="1231">
        <f>SUM('Part VII-Pro Forma'!K57:K60)</f>
        <v>-210543.44355885265</v>
      </c>
    </row>
    <row r="66" spans="1:11">
      <c r="A66" s="1230" t="s">
        <v>4021</v>
      </c>
      <c r="B66" s="1232">
        <f t="shared" ref="B66:K66" si="7">-B64/B68-B65</f>
        <v>609.06183921231423</v>
      </c>
      <c r="C66" s="1232">
        <f t="shared" si="7"/>
        <v>1345.6258912367921</v>
      </c>
      <c r="D66" s="1232">
        <f t="shared" si="7"/>
        <v>2246.0286082272942</v>
      </c>
      <c r="E66" s="1232">
        <f t="shared" si="7"/>
        <v>3316.0056516680925</v>
      </c>
      <c r="F66" s="1232">
        <f t="shared" si="7"/>
        <v>4564.9073295846174</v>
      </c>
      <c r="G66" s="1232">
        <f t="shared" si="7"/>
        <v>6000.7082208082138</v>
      </c>
      <c r="H66" s="1232">
        <f t="shared" si="7"/>
        <v>7631.6837783298979</v>
      </c>
      <c r="I66" s="1232">
        <f t="shared" si="7"/>
        <v>9467.2539215975266</v>
      </c>
      <c r="J66" s="1232">
        <f t="shared" si="7"/>
        <v>11516.326961230312</v>
      </c>
      <c r="K66" s="1232">
        <f t="shared" si="7"/>
        <v>13788.143866627099</v>
      </c>
    </row>
    <row r="68" spans="1:11">
      <c r="A68" s="1230" t="s">
        <v>4022</v>
      </c>
      <c r="B68" s="1230">
        <f>+K48</f>
        <v>1.2</v>
      </c>
      <c r="C68" s="1230">
        <f t="shared" ref="C68:K68" si="8">+B68</f>
        <v>1.2</v>
      </c>
      <c r="D68" s="1230">
        <f t="shared" si="8"/>
        <v>1.2</v>
      </c>
      <c r="E68" s="1230">
        <f t="shared" si="8"/>
        <v>1.2</v>
      </c>
      <c r="F68" s="1230">
        <f t="shared" si="8"/>
        <v>1.2</v>
      </c>
      <c r="G68" s="1230">
        <f t="shared" si="8"/>
        <v>1.2</v>
      </c>
      <c r="H68" s="1230">
        <f t="shared" si="8"/>
        <v>1.2</v>
      </c>
      <c r="I68" s="1230">
        <f t="shared" si="8"/>
        <v>1.2</v>
      </c>
      <c r="J68" s="1230">
        <f t="shared" si="8"/>
        <v>1.2</v>
      </c>
      <c r="K68" s="1230">
        <f t="shared" si="8"/>
        <v>1.2</v>
      </c>
    </row>
    <row r="70" spans="1:11">
      <c r="A70" s="1229" t="s">
        <v>1151</v>
      </c>
    </row>
    <row r="71" spans="1:11">
      <c r="A71" s="1230" t="s">
        <v>1188</v>
      </c>
      <c r="B71" s="1232">
        <f t="shared" ref="B71:G71" si="9">+B64</f>
        <v>251921.25806356841</v>
      </c>
      <c r="C71" s="1232">
        <f t="shared" si="9"/>
        <v>251037.38120113901</v>
      </c>
      <c r="D71" s="1232">
        <f t="shared" si="9"/>
        <v>249956.89794075044</v>
      </c>
      <c r="E71" s="1232">
        <f t="shared" si="9"/>
        <v>248672.92548862146</v>
      </c>
      <c r="F71" s="1232">
        <f t="shared" si="9"/>
        <v>247174.24347512165</v>
      </c>
      <c r="G71" s="1232">
        <f t="shared" si="9"/>
        <v>245451.28240565333</v>
      </c>
      <c r="H71" s="1232">
        <f>+H64</f>
        <v>243494.1117366273</v>
      </c>
      <c r="I71" s="1232">
        <f>+I64</f>
        <v>241291.42756470613</v>
      </c>
      <c r="J71" s="1232">
        <f>+J64</f>
        <v>238832.53991714679</v>
      </c>
      <c r="K71" s="1232">
        <f>+K64</f>
        <v>236106.35963067066</v>
      </c>
    </row>
    <row r="72" spans="1:11">
      <c r="A72" s="1230" t="s">
        <v>4023</v>
      </c>
      <c r="B72" s="1232">
        <f t="shared" ref="B72:G72" si="10">IF($B$25="N/A",B65,B65+$B$25)</f>
        <v>-209857.41200000001</v>
      </c>
      <c r="C72" s="1232">
        <f t="shared" si="10"/>
        <v>-209857.41200000001</v>
      </c>
      <c r="D72" s="1232">
        <f t="shared" si="10"/>
        <v>-209857.41200000001</v>
      </c>
      <c r="E72" s="1232">
        <f t="shared" si="10"/>
        <v>-209857.41200000001</v>
      </c>
      <c r="F72" s="1232">
        <f t="shared" si="10"/>
        <v>-209857.41200000001</v>
      </c>
      <c r="G72" s="1232">
        <f t="shared" si="10"/>
        <v>-209857.41200000001</v>
      </c>
      <c r="H72" s="1232">
        <f>IF($B$25="N/A",H65,H65+$B$25)</f>
        <v>-209857.41200000001</v>
      </c>
      <c r="I72" s="1232">
        <f>IF($B$25="N/A",I65,I65+$B$25)</f>
        <v>-209857.41200000001</v>
      </c>
      <c r="J72" s="1232">
        <f>IF($B$25="N/A",J65,J65+$B$25)</f>
        <v>-209857.41200000001</v>
      </c>
      <c r="K72" s="1232">
        <f>IF($B$25="N/A",K65,K65+$B$25)</f>
        <v>-209857.41200000001</v>
      </c>
    </row>
    <row r="73" spans="1:11">
      <c r="A73" s="1230" t="s">
        <v>4024</v>
      </c>
      <c r="B73" s="1231">
        <f>+'Part VII-Pro Forma'!B62</f>
        <v>-10000</v>
      </c>
      <c r="C73" s="1231">
        <f>+'Part VII-Pro Forma'!C62</f>
        <v>-10000</v>
      </c>
      <c r="D73" s="1231">
        <f>+'Part VII-Pro Forma'!D62</f>
        <v>-10000</v>
      </c>
      <c r="E73" s="1231">
        <f>+'Part VII-Pro Forma'!E62</f>
        <v>-10000</v>
      </c>
      <c r="F73" s="1231">
        <f>+'Part VII-Pro Forma'!F62</f>
        <v>-10000</v>
      </c>
      <c r="G73" s="1231">
        <f>+'Part VII-Pro Forma'!G62</f>
        <v>-10000</v>
      </c>
      <c r="H73" s="1231">
        <f>+'Part VII-Pro Forma'!H62</f>
        <v>-10000</v>
      </c>
      <c r="I73" s="1231">
        <f>+'Part VII-Pro Forma'!I62</f>
        <v>-10000</v>
      </c>
      <c r="J73" s="1231">
        <f>+'Part VII-Pro Forma'!J62</f>
        <v>-10000</v>
      </c>
      <c r="K73" s="1231">
        <f>+'Part VII-Pro Forma'!K62</f>
        <v>-10000</v>
      </c>
    </row>
    <row r="74" spans="1:11">
      <c r="A74" s="1230" t="s">
        <v>4025</v>
      </c>
      <c r="B74" s="1232">
        <f t="shared" ref="B74:G74" si="11">+SUM(B71:B73)</f>
        <v>32063.846063568402</v>
      </c>
      <c r="C74" s="1232">
        <f t="shared" si="11"/>
        <v>31179.969201139</v>
      </c>
      <c r="D74" s="1232">
        <f t="shared" si="11"/>
        <v>30099.485940750426</v>
      </c>
      <c r="E74" s="1232">
        <f t="shared" si="11"/>
        <v>28815.513488621451</v>
      </c>
      <c r="F74" s="1232">
        <f t="shared" si="11"/>
        <v>27316.831475121639</v>
      </c>
      <c r="G74" s="1232">
        <f t="shared" si="11"/>
        <v>25593.870405653317</v>
      </c>
      <c r="H74" s="1232">
        <f>+SUM(H71:H73)</f>
        <v>23636.699736627284</v>
      </c>
      <c r="I74" s="1232">
        <f>+SUM(I71:I73)</f>
        <v>21434.015564706118</v>
      </c>
      <c r="J74" s="1232">
        <f>+SUM(J71:J73)</f>
        <v>18975.127917146776</v>
      </c>
      <c r="K74" s="1232">
        <f>+SUM(K71:K73)</f>
        <v>16248.947630670649</v>
      </c>
    </row>
    <row r="75" spans="1:11">
      <c r="A75" s="1230" t="s">
        <v>3901</v>
      </c>
      <c r="B75" s="1232">
        <f t="shared" ref="B75:G75" si="12">-B74</f>
        <v>-32063.846063568402</v>
      </c>
      <c r="C75" s="1232">
        <f t="shared" si="12"/>
        <v>-31179.969201139</v>
      </c>
      <c r="D75" s="1232">
        <f t="shared" si="12"/>
        <v>-30099.485940750426</v>
      </c>
      <c r="E75" s="1232">
        <f t="shared" si="12"/>
        <v>-28815.513488621451</v>
      </c>
      <c r="F75" s="1232">
        <f t="shared" si="12"/>
        <v>-27316.831475121639</v>
      </c>
      <c r="G75" s="1232">
        <f t="shared" si="12"/>
        <v>-25593.870405653317</v>
      </c>
      <c r="H75" s="1232">
        <f>-H74</f>
        <v>-23636.699736627284</v>
      </c>
      <c r="I75" s="1232">
        <f>-I74</f>
        <v>-21434.015564706118</v>
      </c>
      <c r="J75" s="1232">
        <f>-J74</f>
        <v>-18975.127917146776</v>
      </c>
      <c r="K75" s="1232">
        <f>-K74</f>
        <v>-16248.947630670649</v>
      </c>
    </row>
    <row r="76" spans="1:11">
      <c r="A76" s="1230" t="s">
        <v>4026</v>
      </c>
      <c r="B76" s="1232">
        <f t="shared" ref="B76:G76" si="13">+B74+B75</f>
        <v>0</v>
      </c>
      <c r="C76" s="1232">
        <f t="shared" si="13"/>
        <v>0</v>
      </c>
      <c r="D76" s="1232">
        <f t="shared" si="13"/>
        <v>0</v>
      </c>
      <c r="E76" s="1232">
        <f t="shared" si="13"/>
        <v>0</v>
      </c>
      <c r="F76" s="1232">
        <f t="shared" si="13"/>
        <v>0</v>
      </c>
      <c r="G76" s="1232">
        <f t="shared" si="13"/>
        <v>0</v>
      </c>
      <c r="H76" s="1232">
        <f>+H74+H75</f>
        <v>0</v>
      </c>
      <c r="I76" s="1232">
        <f>+I74+I75</f>
        <v>0</v>
      </c>
      <c r="J76" s="1232">
        <f>+J74+J75</f>
        <v>0</v>
      </c>
      <c r="K76" s="1232">
        <f>+K74+K75</f>
        <v>0</v>
      </c>
    </row>
    <row r="78" spans="1:11">
      <c r="A78" s="1230" t="s">
        <v>4027</v>
      </c>
      <c r="B78" s="1231">
        <f>IF($B$26="","",-FV('Part III-Sources of Funds'!$K$38/12,12,B72/12,K58))</f>
        <v>667340.58353466587</v>
      </c>
      <c r="C78" s="1231">
        <f>IF($B$26="","",-FV('Part III-Sources of Funds'!$K$38/12,12,C72/12,B78))</f>
        <v>495809.93312889087</v>
      </c>
      <c r="D78" s="1231">
        <f>IF($B$26="","",-FV('Part III-Sources of Funds'!$K$38/12,12,D72/12,C78))</f>
        <v>312791.55739024031</v>
      </c>
      <c r="E78" s="1231">
        <f>IF($B$26="","",-FV('Part III-Sources of Funds'!$K$38/12,12,E72/12,D78))</f>
        <v>117516.10207787505</v>
      </c>
      <c r="F78" s="1231">
        <f>IF($B$26="","",-FV('Part III-Sources of Funds'!$K$38/12,12,F72/12,E78))</f>
        <v>-90837.312127399127</v>
      </c>
      <c r="G78" s="1231">
        <f>IF($B$26="","",-FV('Part III-Sources of Funds'!$K$38/12,12,G72/12,F78))</f>
        <v>-313144.54035305348</v>
      </c>
      <c r="H78" s="1231">
        <f>IF($B$26="","",-FV('Part III-Sources of Funds'!$K$38/12,12,H72/12,G78))</f>
        <v>-550340.09536653198</v>
      </c>
      <c r="I78" s="1231">
        <f>IF($B$26="","",-FV('Part III-Sources of Funds'!$K$38/12,12,I72/12,H78))</f>
        <v>-803421.07598603424</v>
      </c>
      <c r="J78" s="1231">
        <f>IF($B$26="","",-FV('Part III-Sources of Funds'!$K$38/12,12,J72/12,I78))</f>
        <v>-1073451.3585842443</v>
      </c>
      <c r="K78" s="1231">
        <f>IF($B$26="","",-FV('Part III-Sources of Funds'!$K$38/12,12,K72/12,J78))</f>
        <v>-1361566.0693048264</v>
      </c>
    </row>
    <row r="79" spans="1:11">
      <c r="A79" s="1230" t="s">
        <v>3902</v>
      </c>
    </row>
    <row r="82" spans="1:2">
      <c r="A82" s="1230" t="s">
        <v>4028</v>
      </c>
      <c r="B82" s="1305" t="s">
        <v>1334</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40" customWidth="1"/>
    <col min="4" max="4" width="15.44140625" style="640" customWidth="1"/>
    <col min="5" max="5" width="4.88671875" style="640" customWidth="1"/>
    <col min="6" max="9" width="12.88671875" style="640" customWidth="1"/>
    <col min="10" max="10" width="5.109375" style="640" customWidth="1"/>
    <col min="11" max="16384" width="9.109375" style="640"/>
  </cols>
  <sheetData>
    <row r="1" spans="1:16" ht="15.6">
      <c r="A1" s="3836" t="s">
        <v>2857</v>
      </c>
      <c r="B1" s="3836"/>
      <c r="C1" s="3836"/>
      <c r="D1" s="3836"/>
      <c r="E1" s="3836"/>
      <c r="F1" s="3836"/>
      <c r="G1" s="3836"/>
      <c r="H1" s="3836"/>
      <c r="I1" s="3836"/>
      <c r="J1" s="3836"/>
    </row>
    <row r="2" spans="1:16" ht="15.6">
      <c r="A2" s="3836" t="str">
        <f>Overview!C8</f>
        <v>Haven at South Atlanta</v>
      </c>
      <c r="B2" s="3836"/>
      <c r="C2" s="3836"/>
      <c r="D2" s="3836"/>
      <c r="E2" s="3836"/>
      <c r="F2" s="3836"/>
      <c r="G2" s="3836"/>
      <c r="H2" s="3836"/>
      <c r="I2" s="3836"/>
      <c r="J2" s="3836"/>
    </row>
    <row r="3" spans="1:16" ht="15.6">
      <c r="A3" s="3836" t="str">
        <f>'Subsidy Layering Memo'!F14</f>
        <v>Atlanta, Fulton</v>
      </c>
      <c r="B3" s="3836"/>
      <c r="C3" s="3836"/>
      <c r="D3" s="3836"/>
      <c r="E3" s="3836"/>
      <c r="F3" s="3836"/>
      <c r="G3" s="3836"/>
      <c r="H3" s="3836"/>
      <c r="I3" s="3836"/>
      <c r="J3" s="3836"/>
    </row>
    <row r="4" spans="1:16" ht="15.6">
      <c r="A4" s="3837" t="s">
        <v>2858</v>
      </c>
      <c r="B4" s="3836"/>
      <c r="C4" s="3836"/>
      <c r="D4" s="3836"/>
      <c r="E4" s="3836"/>
      <c r="F4" s="3836"/>
      <c r="G4" s="3836"/>
      <c r="H4" s="3836"/>
      <c r="I4" s="3836"/>
      <c r="J4" s="3836"/>
    </row>
    <row r="5" spans="1:16" ht="5.25" customHeight="1"/>
    <row r="6" spans="1:16" ht="5.25" customHeight="1"/>
    <row r="7" spans="1:16" ht="15.6">
      <c r="A7" s="3838" t="s">
        <v>2859</v>
      </c>
      <c r="B7" s="3838"/>
      <c r="C7" s="3839"/>
      <c r="M7" s="3830"/>
      <c r="N7" s="3830"/>
      <c r="O7" s="3830"/>
      <c r="P7" s="3830"/>
    </row>
    <row r="8" spans="1:16" ht="57" customHeight="1">
      <c r="A8" s="3831" t="s">
        <v>4732</v>
      </c>
      <c r="B8" s="3831"/>
      <c r="C8" s="3831"/>
      <c r="D8" s="3831"/>
      <c r="E8" s="3831"/>
      <c r="F8" s="3831"/>
      <c r="G8" s="3831"/>
      <c r="H8" s="3831"/>
      <c r="I8" s="3831"/>
      <c r="J8" s="3831"/>
      <c r="K8" s="641"/>
    </row>
    <row r="9" spans="1:16" ht="45.75" customHeight="1">
      <c r="A9" s="3831"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Atlanta, Fulton County, Georgia, with the development of 84 units (UNIT DESCRIPTION) set aside for Family.</v>
      </c>
      <c r="B9" s="3831"/>
      <c r="C9" s="3831"/>
      <c r="D9" s="3831"/>
      <c r="E9" s="3831"/>
      <c r="F9" s="3831"/>
      <c r="G9" s="3831"/>
      <c r="H9" s="3831"/>
      <c r="I9" s="3831"/>
      <c r="J9" s="3831"/>
      <c r="K9" s="641"/>
    </row>
    <row r="10" spans="1:16" ht="15.6">
      <c r="A10" s="642" t="s">
        <v>2860</v>
      </c>
    </row>
    <row r="11" spans="1:16" ht="16.5" customHeight="1">
      <c r="A11" s="3831" t="str">
        <f>'Subsidy Layering Memo'!A44</f>
        <v xml:space="preserve">Ownership entity:  (NAME) LP, a Georgia Limited Partnership, will be the ownership entity for the proposed project. </v>
      </c>
      <c r="B11" s="3833"/>
      <c r="C11" s="3833"/>
      <c r="D11" s="3833"/>
      <c r="E11" s="3833"/>
      <c r="F11" s="3833"/>
      <c r="G11" s="3833"/>
      <c r="H11" s="3833"/>
      <c r="I11" s="3833"/>
      <c r="J11" s="3831"/>
    </row>
    <row r="12" spans="1:16" ht="63.75" customHeight="1">
      <c r="A12" s="3831" t="s">
        <v>2890</v>
      </c>
      <c r="B12" s="3831"/>
      <c r="C12" s="3831"/>
      <c r="D12" s="3831"/>
      <c r="E12" s="3831"/>
      <c r="F12" s="3831"/>
      <c r="G12" s="3831"/>
      <c r="H12" s="3831"/>
      <c r="I12" s="3831"/>
      <c r="J12" s="3831"/>
    </row>
    <row r="13" spans="1:16" ht="48.75" customHeight="1">
      <c r="A13" s="3831" t="s">
        <v>2891</v>
      </c>
      <c r="B13" s="3831"/>
      <c r="C13" s="3831"/>
      <c r="D13" s="3831"/>
      <c r="E13" s="3831"/>
      <c r="F13" s="3831"/>
      <c r="G13" s="3831"/>
      <c r="H13" s="3831"/>
      <c r="I13" s="3831"/>
      <c r="J13" s="3831"/>
    </row>
    <row r="14" spans="1:16" ht="15.6">
      <c r="A14" s="642" t="s">
        <v>2861</v>
      </c>
      <c r="B14" s="643"/>
    </row>
    <row r="15" spans="1:16">
      <c r="A15" s="640" t="s">
        <v>2862</v>
      </c>
      <c r="D15" s="1681" t="s">
        <v>2863</v>
      </c>
    </row>
    <row r="16" spans="1:16">
      <c r="A16" s="640" t="s">
        <v>2864</v>
      </c>
      <c r="D16" s="1679">
        <f>Overview!C25</f>
        <v>2400000</v>
      </c>
    </row>
    <row r="17" spans="1:11">
      <c r="A17" s="644" t="s">
        <v>2865</v>
      </c>
      <c r="D17" s="1680">
        <f>Overview!C13</f>
        <v>84</v>
      </c>
    </row>
    <row r="18" spans="1:11" ht="14.25" customHeight="1"/>
    <row r="19" spans="1:11" ht="15.6">
      <c r="A19" s="642" t="s">
        <v>2866</v>
      </c>
      <c r="B19" s="643"/>
      <c r="C19" s="643"/>
    </row>
    <row r="20" spans="1:11" ht="48.75" customHeight="1">
      <c r="A20" s="3834" t="s">
        <v>2893</v>
      </c>
      <c r="B20" s="3834"/>
      <c r="C20" s="3834"/>
      <c r="D20" s="3834"/>
      <c r="E20" s="3834"/>
      <c r="F20" s="3834"/>
      <c r="G20" s="3834"/>
      <c r="H20" s="3834"/>
      <c r="I20" s="3834"/>
      <c r="J20" s="3834"/>
    </row>
    <row r="21" spans="1:11" ht="72.75" customHeight="1">
      <c r="A21" s="3831" t="s">
        <v>4731</v>
      </c>
      <c r="B21" s="3831"/>
      <c r="C21" s="3831"/>
      <c r="D21" s="3831"/>
      <c r="E21" s="3831"/>
      <c r="F21" s="3831"/>
      <c r="G21" s="3831"/>
      <c r="H21" s="3831"/>
      <c r="I21" s="3831"/>
      <c r="J21" s="3831"/>
    </row>
    <row r="22" spans="1:11" ht="15.6">
      <c r="A22" s="642" t="s">
        <v>2867</v>
      </c>
      <c r="B22" s="643"/>
      <c r="C22" s="643"/>
      <c r="D22" s="643"/>
      <c r="E22" s="643"/>
      <c r="F22" s="643"/>
    </row>
    <row r="23" spans="1:11" ht="102.75" customHeight="1">
      <c r="A23" s="3835" t="s">
        <v>2886</v>
      </c>
      <c r="B23" s="3835"/>
      <c r="C23" s="3835"/>
      <c r="D23" s="3835"/>
      <c r="E23" s="3835"/>
      <c r="F23" s="3835"/>
      <c r="G23" s="3835"/>
      <c r="H23" s="3835"/>
      <c r="I23" s="3835"/>
      <c r="J23" s="3835"/>
      <c r="K23" s="1317"/>
    </row>
    <row r="24" spans="1:11" ht="15" customHeight="1">
      <c r="A24" s="3832"/>
      <c r="B24" s="3832"/>
      <c r="C24" s="3832"/>
      <c r="D24" s="3832"/>
      <c r="E24" s="3832"/>
      <c r="F24" s="3832"/>
      <c r="G24" s="3832"/>
      <c r="H24" s="3832"/>
      <c r="I24" s="3832"/>
      <c r="J24" s="3832"/>
      <c r="K24" s="640" t="s">
        <v>240</v>
      </c>
    </row>
    <row r="25" spans="1:11" ht="15" customHeight="1">
      <c r="B25" s="1316"/>
      <c r="C25" s="1316"/>
      <c r="D25" s="1316"/>
      <c r="E25" s="1316"/>
      <c r="F25" s="1316"/>
      <c r="G25" s="1316"/>
      <c r="H25" s="1316"/>
      <c r="I25" s="1316" t="s">
        <v>240</v>
      </c>
      <c r="J25" s="1316"/>
    </row>
    <row r="26" spans="1:11" ht="15.6">
      <c r="A26" s="643" t="s">
        <v>2868</v>
      </c>
    </row>
    <row r="28" spans="1:11" ht="15.6" thickBot="1">
      <c r="A28" s="645"/>
      <c r="B28" s="645"/>
      <c r="C28" s="645"/>
      <c r="D28" s="645"/>
      <c r="F28" s="645"/>
      <c r="G28" s="645"/>
      <c r="H28" s="645"/>
      <c r="I28" s="645"/>
    </row>
    <row r="29" spans="1:11">
      <c r="A29" s="640" t="s">
        <v>2869</v>
      </c>
      <c r="D29" s="640" t="s">
        <v>912</v>
      </c>
      <c r="F29" s="640" t="s">
        <v>2870</v>
      </c>
      <c r="I29" s="640" t="s">
        <v>912</v>
      </c>
      <c r="J29" s="640" t="s">
        <v>240</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6" customWidth="1"/>
    <col min="2" max="3" width="26.109375" style="26" customWidth="1"/>
    <col min="4" max="4" width="9.44140625" style="26" customWidth="1"/>
    <col min="5" max="5" width="25.5546875" style="26" customWidth="1"/>
    <col min="6" max="6" width="8.5546875" style="26" customWidth="1"/>
    <col min="7" max="7" width="21.88671875" style="26" customWidth="1"/>
    <col min="8" max="8" width="6.5546875" style="26" customWidth="1"/>
    <col min="9" max="9" width="19.109375" style="26" customWidth="1"/>
    <col min="10" max="10" width="6.5546875" style="26" customWidth="1"/>
    <col min="11" max="11" width="18.88671875" style="26" customWidth="1"/>
    <col min="12" max="12" width="7.5546875" style="26" customWidth="1"/>
    <col min="13" max="17" width="10.88671875" style="26" customWidth="1"/>
    <col min="18" max="16384" width="9.109375" style="26"/>
  </cols>
  <sheetData>
    <row r="1" spans="1:14" s="246" customFormat="1" ht="17.399999999999999">
      <c r="A1" s="1243" t="s">
        <v>2929</v>
      </c>
      <c r="B1" s="703"/>
      <c r="C1" s="703"/>
      <c r="D1" s="703"/>
      <c r="E1" s="703"/>
      <c r="F1" s="703"/>
      <c r="G1" s="703"/>
      <c r="H1" s="703"/>
      <c r="I1" s="703"/>
      <c r="J1" s="703"/>
      <c r="K1" s="703"/>
      <c r="L1" s="643"/>
      <c r="M1" s="643"/>
    </row>
    <row r="2" spans="1:14" s="246" customFormat="1" ht="17.399999999999999">
      <c r="A2" s="1243" t="str">
        <f>+"Financial Analysis for:  "&amp;E8&amp;"  "&amp;C8</f>
        <v>Financial Analysis for:  2019-063  Haven at South Atlanta</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2930</v>
      </c>
      <c r="B7" s="640"/>
      <c r="C7" s="677"/>
      <c r="D7" s="678"/>
      <c r="E7" s="678"/>
      <c r="F7" s="643" t="s">
        <v>3259</v>
      </c>
      <c r="G7" s="640"/>
      <c r="H7" s="3841"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841"/>
      <c r="J7" s="3841"/>
      <c r="K7" s="3841"/>
      <c r="L7" s="640"/>
      <c r="M7" s="640"/>
    </row>
    <row r="8" spans="1:14" ht="15.6">
      <c r="A8" s="643" t="s">
        <v>2931</v>
      </c>
      <c r="B8" s="643"/>
      <c r="C8" s="3841" t="str">
        <f>'Part I-Project Information'!F34</f>
        <v>Haven at South Atlanta</v>
      </c>
      <c r="D8" s="3841"/>
      <c r="E8" s="1318" t="str">
        <f>'Part I-Project Information'!O6</f>
        <v>2019-063</v>
      </c>
      <c r="F8" s="679" t="s">
        <v>2932</v>
      </c>
      <c r="G8" s="678"/>
      <c r="H8" s="3841" t="str">
        <f>CONCATENATE('Part I-Project Information'!F38,", ",'Part I-Project Information'!J39)</f>
        <v>Atlanta, Fulton</v>
      </c>
      <c r="I8" s="3841"/>
      <c r="J8" s="3841"/>
      <c r="K8" s="3841"/>
      <c r="L8" s="640"/>
      <c r="M8" s="680"/>
    </row>
    <row r="9" spans="1:14" ht="15.6">
      <c r="A9" s="643" t="s">
        <v>2934</v>
      </c>
      <c r="B9" s="643"/>
      <c r="C9" s="3841" t="s">
        <v>1749</v>
      </c>
      <c r="D9" s="3841"/>
      <c r="E9" s="678"/>
      <c r="F9" s="679" t="s">
        <v>2935</v>
      </c>
      <c r="G9" s="678"/>
      <c r="H9" s="3841" t="str">
        <f>'Part II-Development Team'!H5</f>
        <v>Haven SA LLC</v>
      </c>
      <c r="I9" s="3841"/>
      <c r="J9" s="3841"/>
      <c r="K9" s="3841"/>
      <c r="L9" s="3841"/>
      <c r="M9" s="680"/>
    </row>
    <row r="10" spans="1:14" ht="15.6">
      <c r="A10" s="643" t="s">
        <v>2937</v>
      </c>
      <c r="B10" s="640"/>
      <c r="C10" s="1318" t="str">
        <f>'Part II-Development Team'!H14</f>
        <v>Haven SA MM LLC</v>
      </c>
      <c r="D10" s="678"/>
      <c r="E10" s="678"/>
      <c r="F10" s="679" t="s">
        <v>3490</v>
      </c>
      <c r="G10" s="678"/>
      <c r="H10" s="3841" t="str">
        <f>'Part II-Development Team'!H33</f>
        <v>RBC Capital Markets</v>
      </c>
      <c r="I10" s="3841"/>
      <c r="J10" s="3841"/>
      <c r="K10" s="3841" t="str">
        <f>'Part II-Development Team'!H39</f>
        <v>RBC Capital Markets</v>
      </c>
      <c r="L10" s="3841"/>
    </row>
    <row r="11" spans="1:14" ht="15.6">
      <c r="A11" s="643" t="s">
        <v>2938</v>
      </c>
      <c r="B11" s="640"/>
      <c r="C11" s="1318" t="str">
        <f>IF('Part II-Development Team'!H20="","",'Part II-Development Team'!H20)</f>
        <v/>
      </c>
      <c r="D11" s="678"/>
      <c r="E11" s="1245" t="str">
        <f>IF('Part II-Development Team'!H26="","",'Part II-Development Team'!H26)</f>
        <v/>
      </c>
      <c r="F11" s="679" t="s">
        <v>641</v>
      </c>
      <c r="G11" s="678"/>
      <c r="H11" s="3841" t="str">
        <f>'Part II-Development Team'!H54</f>
        <v>Pennrose LLC</v>
      </c>
      <c r="I11" s="3841"/>
      <c r="J11" s="3841"/>
      <c r="K11" s="3841" t="str">
        <f>'Part II-Development Team'!H60</f>
        <v xml:space="preserve">FCS Urban Ministries, Inc. </v>
      </c>
      <c r="L11" s="3841"/>
      <c r="M11" s="3841">
        <f>'Part II-Development Team'!H66</f>
        <v>0</v>
      </c>
      <c r="N11" s="3841"/>
    </row>
    <row r="12" spans="1:14" ht="15.6">
      <c r="A12" s="643" t="s">
        <v>2939</v>
      </c>
      <c r="B12" s="640"/>
      <c r="C12" s="1318" t="str">
        <f>'Part II-Development Team'!H86</f>
        <v>Capstone Building Corp</v>
      </c>
      <c r="D12" s="678"/>
      <c r="E12" s="678"/>
      <c r="F12" s="679" t="s">
        <v>2940</v>
      </c>
      <c r="G12" s="678"/>
      <c r="H12" s="3841" t="str">
        <f>'Part II-Development Team'!H92</f>
        <v>LEDIC Management Group, LLC</v>
      </c>
      <c r="I12" s="3841"/>
      <c r="J12" s="3841"/>
      <c r="K12" s="3841"/>
      <c r="L12" s="640"/>
      <c r="M12" s="640"/>
    </row>
    <row r="13" spans="1:14" ht="15.6">
      <c r="A13" s="643" t="s">
        <v>2941</v>
      </c>
      <c r="B13" s="679"/>
      <c r="C13" s="639">
        <f>'Part VI-Revenues &amp; Expenses'!$O$67</f>
        <v>84</v>
      </c>
      <c r="E13" s="1246">
        <f>'Part VI-Revenues &amp; Expenses'!$O$63</f>
        <v>71</v>
      </c>
      <c r="F13" s="679" t="s">
        <v>4034</v>
      </c>
      <c r="G13" s="678"/>
      <c r="H13" s="1319">
        <f>'Part I-Project Information'!H76</f>
        <v>5</v>
      </c>
      <c r="I13" s="1247"/>
      <c r="J13" s="1247"/>
      <c r="K13" s="1319">
        <f>'Part I-Project Information'!P75</f>
        <v>77620</v>
      </c>
      <c r="L13" s="640"/>
      <c r="M13" s="640"/>
    </row>
    <row r="14" spans="1:14" ht="15.6">
      <c r="A14" s="643" t="s">
        <v>3249</v>
      </c>
      <c r="B14" s="640"/>
      <c r="C14" s="1319" t="str">
        <f>'Part I-Project Information'!H82</f>
        <v>Family</v>
      </c>
      <c r="D14" s="3841" t="str">
        <f>IF('Part I-Project Information'!N74=0,"",'Part I-Project Information'!N74)</f>
        <v/>
      </c>
      <c r="E14" s="3841"/>
      <c r="F14" s="679" t="s">
        <v>2942</v>
      </c>
      <c r="G14" s="678"/>
      <c r="H14" s="3846" t="s">
        <v>3429</v>
      </c>
      <c r="I14" s="3846"/>
      <c r="J14" s="3846"/>
      <c r="K14" s="3846" t="s">
        <v>3429</v>
      </c>
      <c r="L14" s="3846"/>
      <c r="M14" s="640"/>
    </row>
    <row r="15" spans="1:14" ht="15.6">
      <c r="A15" s="643" t="s">
        <v>2943</v>
      </c>
      <c r="B15" s="640"/>
      <c r="C15" s="681" t="s">
        <v>1749</v>
      </c>
      <c r="D15" s="678"/>
      <c r="E15" s="678"/>
      <c r="F15" s="679" t="s">
        <v>3250</v>
      </c>
      <c r="G15" s="678"/>
      <c r="H15" s="1318" t="str">
        <f>'Part I-Project Information'!K40</f>
        <v>Urban</v>
      </c>
      <c r="I15" s="678"/>
      <c r="J15" s="678"/>
      <c r="K15" s="678"/>
      <c r="L15" s="640"/>
      <c r="M15" s="640"/>
    </row>
    <row r="16" spans="1:14" ht="15.6">
      <c r="A16" s="643" t="s">
        <v>3463</v>
      </c>
      <c r="B16" s="640"/>
      <c r="C16" s="1318" t="str">
        <f>'Part I-Project Information'!H100</f>
        <v>No</v>
      </c>
      <c r="D16" s="682" t="s">
        <v>2642</v>
      </c>
      <c r="E16" s="1318"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3252</v>
      </c>
      <c r="B18" s="640"/>
      <c r="C18" s="1321">
        <f>'Part IV-A-Uses of Funds'!G132</f>
        <v>15872847</v>
      </c>
      <c r="D18" s="1292">
        <f>IF(C18=0,"",$C$29/C18)</f>
        <v>0.15120160863391427</v>
      </c>
      <c r="E18" s="678" t="s">
        <v>3253</v>
      </c>
      <c r="F18" s="679" t="s">
        <v>3254</v>
      </c>
      <c r="G18" s="678"/>
      <c r="H18" s="3840">
        <f>'Part IV-A-Uses of Funds'!B44</f>
        <v>10602000</v>
      </c>
      <c r="I18" s="3840"/>
      <c r="J18" s="1291">
        <f>IF(H18=0,"",$C$29/H18)</f>
        <v>0.22637238256932654</v>
      </c>
      <c r="K18" s="3841" t="s">
        <v>3255</v>
      </c>
      <c r="L18" s="3841"/>
      <c r="M18" s="640"/>
    </row>
    <row r="19" spans="1:13" ht="15.6">
      <c r="A19" s="643" t="s">
        <v>2944</v>
      </c>
      <c r="B19" s="640"/>
      <c r="C19" s="1320">
        <f>C18/C13</f>
        <v>188962.46428571429</v>
      </c>
      <c r="D19" s="678"/>
      <c r="E19" s="640"/>
      <c r="F19" s="643" t="s">
        <v>2944</v>
      </c>
      <c r="G19" s="640"/>
      <c r="H19" s="3842">
        <f>H18/C13</f>
        <v>126214.28571428571</v>
      </c>
      <c r="I19" s="3842"/>
      <c r="J19" s="640"/>
      <c r="K19" s="640"/>
      <c r="L19" s="640"/>
      <c r="M19" s="640"/>
    </row>
    <row r="20" spans="1:13" ht="15.6">
      <c r="A20" s="643" t="s">
        <v>2945</v>
      </c>
      <c r="B20" s="640"/>
      <c r="C20" s="1322">
        <f>C18/K13</f>
        <v>204.49429270806493</v>
      </c>
      <c r="D20" s="683"/>
      <c r="E20" s="684"/>
      <c r="F20" s="643" t="s">
        <v>2945</v>
      </c>
      <c r="G20" s="640"/>
      <c r="H20" s="3843">
        <f>H18/K13</f>
        <v>136.58850811646482</v>
      </c>
      <c r="I20" s="3842"/>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2946</v>
      </c>
      <c r="B23" s="687"/>
      <c r="C23" s="687"/>
      <c r="D23" s="687"/>
      <c r="E23" s="678"/>
      <c r="F23" s="678"/>
      <c r="G23" s="678"/>
      <c r="H23" s="678"/>
      <c r="I23" s="678"/>
      <c r="J23" s="678"/>
      <c r="K23" s="678"/>
      <c r="L23" s="640"/>
      <c r="M23" s="680"/>
    </row>
    <row r="24" spans="1:13" ht="27" customHeight="1">
      <c r="A24" s="640"/>
      <c r="B24" s="640"/>
      <c r="C24" s="640"/>
      <c r="D24" s="688" t="s">
        <v>2947</v>
      </c>
      <c r="E24" s="640"/>
      <c r="F24" s="640"/>
      <c r="G24" s="640"/>
      <c r="H24" s="640"/>
      <c r="I24" s="640"/>
      <c r="J24" s="640"/>
      <c r="K24" s="640"/>
      <c r="L24" s="640"/>
      <c r="M24" s="680"/>
    </row>
    <row r="25" spans="1:13" ht="15.6">
      <c r="A25" s="643" t="s">
        <v>2948</v>
      </c>
      <c r="B25" s="689" t="str">
        <f>'Part III-Sources of Funds'!E38</f>
        <v>Bank of America</v>
      </c>
      <c r="C25" s="690">
        <f>'Part III-Sources of Funds'!I38</f>
        <v>2400000</v>
      </c>
      <c r="D25" s="691" t="s">
        <v>2949</v>
      </c>
      <c r="E25" s="640"/>
      <c r="F25" s="678"/>
      <c r="G25" s="640" t="s">
        <v>2950</v>
      </c>
      <c r="H25" s="640"/>
      <c r="I25" s="640"/>
      <c r="K25" s="690"/>
      <c r="L25" s="678"/>
      <c r="M25" s="680"/>
    </row>
    <row r="26" spans="1:13" ht="15">
      <c r="A26" s="640"/>
      <c r="B26" s="689"/>
      <c r="C26" s="690"/>
      <c r="D26" s="691"/>
      <c r="E26" s="640"/>
      <c r="F26" s="678"/>
      <c r="G26" s="640" t="s">
        <v>2951</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2952</v>
      </c>
      <c r="H28" s="640"/>
      <c r="I28" s="640"/>
      <c r="K28" s="690"/>
      <c r="L28" s="678"/>
      <c r="M28" s="640"/>
    </row>
    <row r="29" spans="1:13" ht="16.2" thickBot="1">
      <c r="A29" s="640"/>
      <c r="B29" s="693" t="s">
        <v>2953</v>
      </c>
      <c r="C29" s="694">
        <f>SUM(C25:C27)</f>
        <v>2400000</v>
      </c>
      <c r="D29" s="640"/>
      <c r="E29" s="640"/>
      <c r="F29" s="678"/>
      <c r="G29" s="640" t="s">
        <v>2954</v>
      </c>
      <c r="H29" s="640"/>
      <c r="I29" s="640"/>
      <c r="K29" s="692" t="e">
        <f>C29/K28</f>
        <v>#DIV/0!</v>
      </c>
      <c r="L29" s="678"/>
      <c r="M29" s="640"/>
    </row>
    <row r="30" spans="1:13" ht="16.2" thickTop="1">
      <c r="A30" s="643" t="s">
        <v>2955</v>
      </c>
      <c r="B30" s="693"/>
      <c r="C30" s="695">
        <f>'Part III-Sources of Funds'!$I$49+'Part III-Sources of Funds'!$I$50</f>
        <v>12272847</v>
      </c>
      <c r="D30" s="640"/>
      <c r="E30" s="640"/>
      <c r="F30" s="678"/>
      <c r="G30" s="640"/>
      <c r="H30" s="640"/>
      <c r="I30" s="640"/>
      <c r="K30" s="696"/>
      <c r="L30" s="678"/>
      <c r="M30" s="640"/>
    </row>
    <row r="31" spans="1:13" ht="15">
      <c r="A31" s="697" t="s">
        <v>2956</v>
      </c>
      <c r="B31" s="689" t="str">
        <f>'Part III-Sources of Funds'!E39</f>
        <v>Invest Atlanta</v>
      </c>
      <c r="C31" s="690">
        <f>'Part III-Sources of Funds'!I39</f>
        <v>1200000</v>
      </c>
      <c r="D31" s="691"/>
      <c r="E31" s="640"/>
      <c r="F31" s="678"/>
      <c r="G31" s="640"/>
      <c r="H31" s="640"/>
      <c r="I31" s="640"/>
      <c r="K31" s="640"/>
      <c r="L31" s="678"/>
      <c r="M31" s="640"/>
    </row>
    <row r="32" spans="1:13" ht="15">
      <c r="A32" s="697" t="s">
        <v>2956</v>
      </c>
      <c r="B32" s="689">
        <f>'Part III-Sources of Funds'!E40</f>
        <v>0</v>
      </c>
      <c r="C32" s="690">
        <f>'Part III-Sources of Funds'!I40</f>
        <v>0</v>
      </c>
      <c r="D32" s="691"/>
      <c r="E32" s="640" t="s">
        <v>240</v>
      </c>
      <c r="F32" s="678"/>
      <c r="G32" s="640" t="s">
        <v>2957</v>
      </c>
      <c r="H32" s="640"/>
      <c r="I32" s="640"/>
      <c r="K32" s="690"/>
      <c r="L32" s="678"/>
      <c r="M32" s="678"/>
    </row>
    <row r="33" spans="1:13" ht="15.6">
      <c r="A33" s="640"/>
      <c r="B33" s="678"/>
      <c r="C33" s="698"/>
      <c r="D33" s="640"/>
      <c r="E33" s="640"/>
      <c r="F33" s="678"/>
      <c r="G33" s="1250" t="s">
        <v>2958</v>
      </c>
      <c r="H33" s="1250"/>
      <c r="I33" s="1250"/>
      <c r="K33" s="692" t="e">
        <f>$C$29/K32</f>
        <v>#DIV/0!</v>
      </c>
      <c r="L33" s="678"/>
      <c r="M33" s="699"/>
    </row>
    <row r="34" spans="1:13" ht="15.6">
      <c r="A34" s="640"/>
      <c r="B34" s="693" t="s">
        <v>2959</v>
      </c>
      <c r="C34" s="698">
        <f>SUM(C31:C32)</f>
        <v>1200000</v>
      </c>
      <c r="D34" s="640"/>
      <c r="E34" s="640"/>
      <c r="F34" s="640"/>
      <c r="G34" s="640"/>
      <c r="H34" s="640"/>
      <c r="I34" s="640"/>
      <c r="K34" s="678"/>
      <c r="L34" s="640"/>
      <c r="M34" s="699"/>
    </row>
    <row r="35" spans="1:13" ht="15.6">
      <c r="A35" s="640"/>
      <c r="B35" s="693"/>
      <c r="C35" s="640"/>
      <c r="D35" s="640"/>
      <c r="E35" s="640"/>
      <c r="F35" s="640"/>
      <c r="G35" s="1250" t="s">
        <v>2960</v>
      </c>
      <c r="H35" s="1250"/>
      <c r="I35" s="1250"/>
      <c r="K35" s="700" t="e">
        <f>(C36)/K25</f>
        <v>#DIV/0!</v>
      </c>
      <c r="L35" s="640"/>
      <c r="M35" s="678"/>
    </row>
    <row r="36" spans="1:13" ht="15.6">
      <c r="A36" s="640"/>
      <c r="B36" s="693" t="s">
        <v>2961</v>
      </c>
      <c r="C36" s="698">
        <f>C29+C34</f>
        <v>3600000</v>
      </c>
      <c r="D36" s="640"/>
      <c r="E36" s="640"/>
      <c r="F36" s="640"/>
      <c r="G36" s="640"/>
      <c r="H36" s="640"/>
      <c r="I36" s="640"/>
      <c r="K36" s="678"/>
      <c r="L36" s="640"/>
      <c r="M36" s="678"/>
    </row>
    <row r="37" spans="1:13" ht="15.6">
      <c r="A37" s="640"/>
      <c r="B37" s="693"/>
      <c r="C37" s="701"/>
      <c r="D37" s="640"/>
      <c r="E37" s="640"/>
      <c r="F37" s="640"/>
      <c r="G37" s="1250" t="s">
        <v>2962</v>
      </c>
      <c r="H37" s="1250"/>
      <c r="I37" s="1250"/>
      <c r="K37" s="1251" t="e">
        <f>+(C36)/K32</f>
        <v>#DIV/0!</v>
      </c>
      <c r="L37" s="640"/>
      <c r="M37" s="699"/>
    </row>
    <row r="38" spans="1:13" ht="15.6">
      <c r="A38" s="640"/>
      <c r="B38" s="693" t="s">
        <v>2963</v>
      </c>
      <c r="C38" s="702">
        <f>C36/C18</f>
        <v>0.22680241295087139</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2964</v>
      </c>
      <c r="C40" s="702">
        <f>C36/H18</f>
        <v>0.3395585738539898</v>
      </c>
      <c r="D40" s="640"/>
      <c r="E40" s="640"/>
      <c r="F40" s="643"/>
      <c r="G40" s="643" t="s">
        <v>2965</v>
      </c>
      <c r="H40" s="640"/>
      <c r="I40" s="640"/>
      <c r="K40" s="692">
        <f>C30/C18</f>
        <v>0.77319758704912867</v>
      </c>
      <c r="L40" s="640"/>
      <c r="M40" s="640"/>
    </row>
    <row r="46" spans="1:13" ht="15.6">
      <c r="A46" s="703" t="s">
        <v>2966</v>
      </c>
      <c r="B46" s="673"/>
      <c r="C46" s="673"/>
      <c r="D46" s="673"/>
      <c r="E46" s="673"/>
      <c r="F46" s="673"/>
      <c r="G46" s="673"/>
      <c r="H46" s="673"/>
      <c r="I46" s="673"/>
      <c r="J46" s="673"/>
      <c r="K46" s="673"/>
      <c r="L46" s="673"/>
      <c r="M46" s="640"/>
    </row>
    <row r="47" spans="1:13" ht="15.6">
      <c r="A47" s="703" t="str">
        <f>C8</f>
        <v>Haven at South Atlanta</v>
      </c>
      <c r="B47" s="673"/>
      <c r="C47" s="673"/>
      <c r="D47" s="673"/>
      <c r="E47" s="673"/>
      <c r="F47" s="673"/>
      <c r="G47" s="673"/>
      <c r="H47" s="673"/>
      <c r="I47" s="673"/>
      <c r="J47" s="673"/>
      <c r="K47" s="673"/>
      <c r="L47" s="673"/>
      <c r="M47" s="640"/>
    </row>
    <row r="50" spans="1:14" s="640" customFormat="1" ht="15.6">
      <c r="A50" s="643" t="s">
        <v>2967</v>
      </c>
      <c r="C50" s="704" t="s">
        <v>2968</v>
      </c>
      <c r="E50" s="705" t="s">
        <v>3430</v>
      </c>
      <c r="F50" s="706">
        <v>0.1</v>
      </c>
      <c r="G50" s="705" t="s">
        <v>3431</v>
      </c>
      <c r="H50" s="706">
        <v>0.05</v>
      </c>
      <c r="I50" s="705" t="s">
        <v>3432</v>
      </c>
      <c r="J50" s="706">
        <v>0.03</v>
      </c>
      <c r="K50" s="3844" t="s">
        <v>2969</v>
      </c>
      <c r="L50" s="3845"/>
      <c r="M50" s="26"/>
      <c r="N50" s="26"/>
    </row>
    <row r="51" spans="1:14" s="640" customFormat="1" ht="15.6">
      <c r="A51" s="643"/>
      <c r="C51" s="704"/>
      <c r="E51" s="704"/>
      <c r="F51" s="707"/>
      <c r="G51" s="704"/>
      <c r="H51" s="707"/>
      <c r="I51" s="704"/>
      <c r="J51" s="707"/>
      <c r="K51" s="704"/>
      <c r="M51" s="26"/>
      <c r="N51" s="26"/>
    </row>
    <row r="52" spans="1:14" s="640" customFormat="1" ht="18.75" customHeight="1">
      <c r="B52" s="708" t="s">
        <v>2970</v>
      </c>
      <c r="C52" s="709">
        <f>'Part VII-Pro Forma'!B14</f>
        <v>768504</v>
      </c>
      <c r="D52" s="709"/>
      <c r="E52" s="709">
        <f>$C$52</f>
        <v>768504</v>
      </c>
      <c r="F52" s="709"/>
      <c r="G52" s="709">
        <f>$C$52</f>
        <v>768504</v>
      </c>
      <c r="H52" s="709"/>
      <c r="I52" s="709">
        <f>$C$52</f>
        <v>768504</v>
      </c>
      <c r="J52" s="709"/>
      <c r="K52" s="709">
        <f>$C$52</f>
        <v>768504</v>
      </c>
      <c r="L52" s="710"/>
      <c r="M52" s="26"/>
      <c r="N52" s="26"/>
    </row>
    <row r="53" spans="1:14" s="640" customFormat="1" ht="18.75" customHeight="1">
      <c r="B53" s="708" t="s">
        <v>2973</v>
      </c>
      <c r="C53" s="709">
        <f>'Part VII-Pro Forma'!B15</f>
        <v>15370.08</v>
      </c>
      <c r="D53" s="709"/>
      <c r="E53" s="709">
        <f>$C$53</f>
        <v>15370.08</v>
      </c>
      <c r="F53" s="709"/>
      <c r="G53" s="709">
        <f>$C$53</f>
        <v>15370.08</v>
      </c>
      <c r="H53" s="709"/>
      <c r="I53" s="709">
        <f>$C$53</f>
        <v>15370.08</v>
      </c>
      <c r="J53" s="709"/>
      <c r="K53" s="709">
        <f>$C$53</f>
        <v>15370.08</v>
      </c>
      <c r="L53" s="710"/>
      <c r="M53" s="26"/>
      <c r="N53" s="26"/>
    </row>
    <row r="54" spans="1:14" s="640" customFormat="1" ht="18.75" customHeight="1">
      <c r="B54" s="708" t="s">
        <v>2971</v>
      </c>
      <c r="C54" s="709">
        <f>'Part VII-Pro Forma'!B16</f>
        <v>-54871.185600000004</v>
      </c>
      <c r="D54" s="709"/>
      <c r="E54" s="709">
        <f>-($C$52+E53)*F50</f>
        <v>-78387.407999999996</v>
      </c>
      <c r="F54" s="711"/>
      <c r="G54" s="709">
        <f>-($C$52+G53)*0.07</f>
        <v>-54871.185600000004</v>
      </c>
      <c r="H54" s="709"/>
      <c r="I54" s="709">
        <f>-($C$52+I53)*0.07</f>
        <v>-54871.185600000004</v>
      </c>
      <c r="J54" s="709"/>
      <c r="K54" s="709">
        <f>-($C$52+K53)*L54</f>
        <v>-78387.407999999996</v>
      </c>
      <c r="L54" s="712">
        <v>0.1</v>
      </c>
      <c r="M54" s="26"/>
      <c r="N54" s="26"/>
    </row>
    <row r="55" spans="1:14" s="640" customFormat="1" ht="18.75" customHeight="1">
      <c r="B55" s="708" t="s">
        <v>2972</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2974</v>
      </c>
      <c r="C56" s="715">
        <f>SUM(C52:C55)</f>
        <v>729002.89439999999</v>
      </c>
      <c r="D56" s="709"/>
      <c r="E56" s="715">
        <f>SUM(E52:E55)</f>
        <v>705486.67200000002</v>
      </c>
      <c r="F56" s="709"/>
      <c r="G56" s="715">
        <f>SUM(G52:G55)</f>
        <v>729002.89439999999</v>
      </c>
      <c r="H56" s="709"/>
      <c r="I56" s="715">
        <f>SUM(I52:I55)</f>
        <v>729002.89439999999</v>
      </c>
      <c r="J56" s="709"/>
      <c r="K56" s="715">
        <f>SUM(K52:K55)</f>
        <v>705486.67200000002</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2975</v>
      </c>
      <c r="C58" s="709">
        <f>+'Part VI-Revenues &amp; Expenses'!F219+'Part VI-Revenues &amp; Expenses'!F228+'Part VI-Revenues &amp; Expenses'!K217+'Part VI-Revenues &amp; Expenses'!K226</f>
        <v>203500</v>
      </c>
      <c r="D58" s="709"/>
      <c r="E58" s="709">
        <f>$C$58</f>
        <v>203500</v>
      </c>
      <c r="F58" s="709"/>
      <c r="G58" s="709">
        <f>$C$58</f>
        <v>203500</v>
      </c>
      <c r="H58" s="709"/>
      <c r="I58" s="709">
        <f>$C$58</f>
        <v>203500</v>
      </c>
      <c r="J58" s="709"/>
      <c r="K58" s="709">
        <f>$C$58</f>
        <v>203500</v>
      </c>
      <c r="L58" s="710"/>
      <c r="M58" s="26"/>
      <c r="N58" s="26"/>
    </row>
    <row r="59" spans="1:14" s="640" customFormat="1" ht="18.75" customHeight="1">
      <c r="B59" s="708" t="s">
        <v>2976</v>
      </c>
      <c r="C59" s="709">
        <f>+'Part VI-Revenues &amp; Expenses'!F239</f>
        <v>66100</v>
      </c>
      <c r="D59" s="709"/>
      <c r="E59" s="709">
        <f>$C$59</f>
        <v>66100</v>
      </c>
      <c r="F59" s="709"/>
      <c r="G59" s="709">
        <f>$C$59</f>
        <v>66100</v>
      </c>
      <c r="H59" s="709"/>
      <c r="I59" s="709">
        <f>$C$59</f>
        <v>66100</v>
      </c>
      <c r="J59" s="709"/>
      <c r="K59" s="709">
        <f>$C$59*(1+$L$59)</f>
        <v>68744</v>
      </c>
      <c r="L59" s="717">
        <v>0.04</v>
      </c>
      <c r="M59" s="26"/>
      <c r="N59" s="26"/>
    </row>
    <row r="60" spans="1:14" s="640" customFormat="1" ht="18.75" customHeight="1">
      <c r="B60" s="708" t="s">
        <v>1360</v>
      </c>
      <c r="C60" s="709">
        <f>+'Part VI-Revenues &amp; Expenses'!K236</f>
        <v>35124</v>
      </c>
      <c r="D60" s="709"/>
      <c r="E60" s="709">
        <f>$C$60</f>
        <v>35124</v>
      </c>
      <c r="F60" s="709"/>
      <c r="G60" s="709">
        <f>$C$60</f>
        <v>35124</v>
      </c>
      <c r="H60" s="709"/>
      <c r="I60" s="709">
        <f>$C$60*(1+$J$50)</f>
        <v>36177.72</v>
      </c>
      <c r="J60" s="711"/>
      <c r="K60" s="709">
        <f>$C$60*(1+$J$50)</f>
        <v>36177.72</v>
      </c>
      <c r="L60" s="712">
        <v>0.03</v>
      </c>
      <c r="M60" s="26"/>
      <c r="N60" s="26"/>
    </row>
    <row r="61" spans="1:14" s="640" customFormat="1" ht="18.75" customHeight="1">
      <c r="B61" s="708" t="s">
        <v>1361</v>
      </c>
      <c r="C61" s="709">
        <f>+'Part VI-Revenues &amp; Expenses'!P218</f>
        <v>115000</v>
      </c>
      <c r="D61" s="709"/>
      <c r="E61" s="709">
        <f>$C$61</f>
        <v>115000</v>
      </c>
      <c r="F61" s="709"/>
      <c r="G61" s="709">
        <f>$C$61*(1+H50)</f>
        <v>120750</v>
      </c>
      <c r="H61" s="711"/>
      <c r="I61" s="709">
        <f>$C$61</f>
        <v>115000</v>
      </c>
      <c r="J61" s="709"/>
      <c r="K61" s="709">
        <f>$C$61*(1+$L$61)</f>
        <v>120750</v>
      </c>
      <c r="L61" s="712">
        <v>0.05</v>
      </c>
      <c r="M61" s="26"/>
      <c r="N61" s="26"/>
    </row>
    <row r="62" spans="1:14" s="640" customFormat="1" ht="18.75" customHeight="1">
      <c r="B62" s="714" t="s">
        <v>2977</v>
      </c>
      <c r="C62" s="715">
        <f>SUM(C58:C61)</f>
        <v>419724</v>
      </c>
      <c r="D62" s="709"/>
      <c r="E62" s="715">
        <f>SUM(E58:E61)</f>
        <v>419724</v>
      </c>
      <c r="F62" s="709"/>
      <c r="G62" s="715">
        <f>SUM(G58:G61)</f>
        <v>425474</v>
      </c>
      <c r="H62" s="709"/>
      <c r="I62" s="715">
        <f>SUM(I58:I61)</f>
        <v>420777.72</v>
      </c>
      <c r="J62" s="709"/>
      <c r="K62" s="715">
        <f>SUM(K58:K61)</f>
        <v>429171.72</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2978</v>
      </c>
      <c r="C64" s="721">
        <f>C56-C62</f>
        <v>309278.89439999999</v>
      </c>
      <c r="D64" s="721"/>
      <c r="E64" s="721">
        <f>E56-E62</f>
        <v>285762.67200000002</v>
      </c>
      <c r="F64" s="721"/>
      <c r="G64" s="721">
        <f>G56-G62</f>
        <v>303528.89439999999</v>
      </c>
      <c r="H64" s="721"/>
      <c r="I64" s="721">
        <f>I56-I62</f>
        <v>308225.17440000002</v>
      </c>
      <c r="J64" s="721"/>
      <c r="K64" s="721">
        <f>K56-K62</f>
        <v>276314.95200000005</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2979</v>
      </c>
      <c r="C66" s="716">
        <f>'Part VI-Revenues &amp; Expenses'!P230</f>
        <v>21000</v>
      </c>
      <c r="D66" s="716"/>
      <c r="E66" s="716">
        <f>$C$66</f>
        <v>21000</v>
      </c>
      <c r="F66" s="716"/>
      <c r="G66" s="716">
        <f>$C$66</f>
        <v>21000</v>
      </c>
      <c r="H66" s="716"/>
      <c r="I66" s="716">
        <f>$C$66</f>
        <v>21000</v>
      </c>
      <c r="J66" s="716"/>
      <c r="K66" s="716">
        <f>$C$66</f>
        <v>21000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2980</v>
      </c>
      <c r="C68" s="716">
        <f>'Part VI-Revenues &amp; Expenses'!P221</f>
        <v>36450</v>
      </c>
      <c r="D68" s="716"/>
      <c r="E68" s="716">
        <f>$C$68</f>
        <v>36450</v>
      </c>
      <c r="F68" s="716"/>
      <c r="G68" s="716">
        <f>$C$68</f>
        <v>36450</v>
      </c>
      <c r="H68" s="716"/>
      <c r="I68" s="716">
        <f>$C$68</f>
        <v>36450</v>
      </c>
      <c r="J68" s="716"/>
      <c r="K68" s="716">
        <f>$C$68</f>
        <v>36450</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2981</v>
      </c>
      <c r="C70" s="724">
        <f>C64-C66-C68</f>
        <v>251828.89439999999</v>
      </c>
      <c r="D70" s="725"/>
      <c r="E70" s="724">
        <f>E64-E66-E68</f>
        <v>228312.67200000002</v>
      </c>
      <c r="F70" s="725"/>
      <c r="G70" s="724">
        <f>G64-G66-G68</f>
        <v>246078.89439999999</v>
      </c>
      <c r="H70" s="725"/>
      <c r="I70" s="724">
        <f>I64-I66-I68</f>
        <v>250775.17440000002</v>
      </c>
      <c r="J70" s="725"/>
      <c r="K70" s="724">
        <f>K64-K66-K68</f>
        <v>218864.95200000005</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2982</v>
      </c>
      <c r="C72" s="1293">
        <f>-C70/C75</f>
        <v>1.1960899382250625</v>
      </c>
      <c r="D72" s="727"/>
      <c r="E72" s="1293">
        <f>-E70/E75</f>
        <v>1.0843969688193134</v>
      </c>
      <c r="F72" s="727"/>
      <c r="G72" s="1293">
        <f>-G70/G75</f>
        <v>1.1687796601047526</v>
      </c>
      <c r="H72" s="727"/>
      <c r="I72" s="1293">
        <f>-I70/I75</f>
        <v>1.1910851753970744</v>
      </c>
      <c r="J72" s="727"/>
      <c r="K72" s="1293">
        <f>-K70/K75</f>
        <v>1.0395239495492592</v>
      </c>
      <c r="L72" s="728"/>
      <c r="M72" s="246"/>
      <c r="N72" s="246"/>
    </row>
    <row r="73" spans="1:14" s="640" customFormat="1" ht="18.75" customHeight="1">
      <c r="A73" s="26"/>
      <c r="B73" s="708" t="s">
        <v>2983</v>
      </c>
      <c r="C73" s="1294">
        <f>C76/C62</f>
        <v>9.8363331239451013E-2</v>
      </c>
      <c r="D73" s="729"/>
      <c r="E73" s="1294">
        <f>E76/E62</f>
        <v>4.2335507240823411E-2</v>
      </c>
      <c r="F73" s="729"/>
      <c r="G73" s="1294">
        <f>G76/G62</f>
        <v>8.351967650466853E-2</v>
      </c>
      <c r="H73" s="729"/>
      <c r="I73" s="1294">
        <f>I76/I62</f>
        <v>9.5612787771052532E-2</v>
      </c>
      <c r="J73" s="729"/>
      <c r="K73" s="1294">
        <f>K76/K62</f>
        <v>1.9389694272370497E-2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2984</v>
      </c>
      <c r="C75" s="709">
        <f>+SUM('Part VII-Pro Forma'!B25:B28)</f>
        <v>-210543.44355885265</v>
      </c>
      <c r="D75" s="709"/>
      <c r="E75" s="709">
        <f>$C$75</f>
        <v>-210543.44355885265</v>
      </c>
      <c r="F75" s="709"/>
      <c r="G75" s="709">
        <f>$C$75</f>
        <v>-210543.44355885265</v>
      </c>
      <c r="H75" s="709"/>
      <c r="I75" s="709">
        <f>$C$75</f>
        <v>-210543.44355885265</v>
      </c>
      <c r="J75" s="709"/>
      <c r="K75" s="709">
        <f>$C$75</f>
        <v>-210543.44355885265</v>
      </c>
      <c r="L75" s="32"/>
      <c r="M75" s="26"/>
      <c r="N75" s="26"/>
    </row>
    <row r="76" spans="1:14" s="640" customFormat="1" ht="18.75" customHeight="1">
      <c r="A76" s="26"/>
      <c r="B76" s="708" t="s">
        <v>1151</v>
      </c>
      <c r="C76" s="709">
        <f>C70+C75</f>
        <v>41285.450841147336</v>
      </c>
      <c r="D76" s="709"/>
      <c r="E76" s="709">
        <f>E70+E75</f>
        <v>17769.228441147367</v>
      </c>
      <c r="F76" s="709"/>
      <c r="G76" s="709">
        <f>G70+G75</f>
        <v>35535.450841147336</v>
      </c>
      <c r="H76" s="709"/>
      <c r="I76" s="709">
        <f>I70+I75</f>
        <v>40231.730841147364</v>
      </c>
      <c r="J76" s="709"/>
      <c r="K76" s="709">
        <f>K70+K75</f>
        <v>8321.5084411473945</v>
      </c>
      <c r="L76" s="32"/>
      <c r="M76" s="26"/>
      <c r="N76" s="26"/>
    </row>
    <row r="77" spans="1:14" s="640" customFormat="1" ht="15" hidden="1">
      <c r="A77" s="26"/>
      <c r="B77" s="708" t="s">
        <v>2985</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2986</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2987</v>
      </c>
      <c r="C80" s="732" t="e">
        <f>MIN(C77,E77,G77,I77,K77)</f>
        <v>#NAME?</v>
      </c>
      <c r="D80" s="718"/>
      <c r="E80" s="718" t="s">
        <v>2988</v>
      </c>
      <c r="F80" s="733">
        <v>0.06</v>
      </c>
      <c r="G80" s="32"/>
      <c r="H80" s="32"/>
      <c r="I80" s="32"/>
      <c r="J80" s="32"/>
      <c r="K80" s="32"/>
      <c r="L80" s="32"/>
      <c r="M80" s="26"/>
      <c r="N80" s="26"/>
    </row>
    <row r="81" spans="1:14" s="640" customFormat="1" ht="15" hidden="1">
      <c r="A81" s="26"/>
      <c r="B81" s="718" t="s">
        <v>1709</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240</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649"/>
    <col min="2" max="2" width="7.88671875" style="649" customWidth="1"/>
    <col min="3" max="3" width="14.88671875" style="649" customWidth="1"/>
    <col min="4" max="4" width="20.109375" style="649" customWidth="1"/>
    <col min="5" max="5" width="8" style="649" customWidth="1"/>
    <col min="6" max="6" width="5.109375" style="649" customWidth="1"/>
    <col min="7" max="7" width="5.44140625" style="649" customWidth="1"/>
    <col min="8" max="8" width="8.5546875" style="649" customWidth="1"/>
    <col min="9" max="9" width="28.5546875" style="649" customWidth="1"/>
    <col min="10" max="10" width="4.109375" style="649" hidden="1" customWidth="1"/>
    <col min="11" max="11" width="9.109375" style="649"/>
    <col min="12" max="12" width="16.109375" style="649" customWidth="1"/>
    <col min="13" max="13" width="11.109375" style="649" customWidth="1"/>
    <col min="14" max="14" width="10.88671875" style="649" bestFit="1" customWidth="1"/>
    <col min="15" max="15" width="28.5546875" style="649" customWidth="1"/>
    <col min="16" max="16384" width="9.109375" style="649"/>
  </cols>
  <sheetData>
    <row r="2" spans="1:10">
      <c r="A2" s="646" t="s">
        <v>2871</v>
      </c>
      <c r="B2" s="647"/>
      <c r="C2" s="647"/>
      <c r="D2" s="647"/>
      <c r="E2" s="648"/>
      <c r="F2" s="647"/>
      <c r="G2" s="647"/>
      <c r="H2" s="647"/>
      <c r="I2" s="647"/>
      <c r="J2" s="647"/>
    </row>
    <row r="3" spans="1:10">
      <c r="A3" s="650"/>
    </row>
    <row r="4" spans="1:10">
      <c r="A4" s="650" t="s">
        <v>2872</v>
      </c>
      <c r="D4" s="649" t="s">
        <v>2873</v>
      </c>
    </row>
    <row r="5" spans="1:10">
      <c r="A5" s="650"/>
    </row>
    <row r="6" spans="1:10">
      <c r="A6" s="650" t="s">
        <v>2874</v>
      </c>
      <c r="D6" s="649" t="s">
        <v>2875</v>
      </c>
    </row>
    <row r="7" spans="1:10">
      <c r="A7" s="650"/>
    </row>
    <row r="8" spans="1:10">
      <c r="A8" s="650" t="s">
        <v>2876</v>
      </c>
      <c r="D8" s="651" t="s">
        <v>2877</v>
      </c>
    </row>
    <row r="9" spans="1:10">
      <c r="A9" s="650"/>
    </row>
    <row r="10" spans="1:10">
      <c r="A10" s="650" t="s">
        <v>2878</v>
      </c>
      <c r="D10" s="651" t="s">
        <v>2879</v>
      </c>
    </row>
    <row r="11" spans="1:10">
      <c r="A11" s="650"/>
      <c r="D11" s="1678"/>
    </row>
    <row r="12" spans="1:10">
      <c r="A12" s="650" t="s">
        <v>2880</v>
      </c>
      <c r="D12" s="649" t="s">
        <v>606</v>
      </c>
      <c r="F12" s="1678" t="str">
        <f>Overview!$C$8</f>
        <v>Haven at South Atlanta</v>
      </c>
    </row>
    <row r="13" spans="1:10">
      <c r="A13" s="650"/>
      <c r="D13" s="649" t="s">
        <v>2881</v>
      </c>
      <c r="F13" s="1678" t="str">
        <f>Overview!E8</f>
        <v>2019-063</v>
      </c>
    </row>
    <row r="14" spans="1:10">
      <c r="A14" s="650"/>
      <c r="D14" s="649" t="s">
        <v>2882</v>
      </c>
      <c r="F14" s="1678" t="str">
        <f>Overview!H8</f>
        <v>Atlanta, Fulton</v>
      </c>
    </row>
    <row r="15" spans="1:10">
      <c r="A15" s="650"/>
      <c r="D15" s="649" t="s">
        <v>3246</v>
      </c>
      <c r="F15" s="3847">
        <f>Overview!$C$25</f>
        <v>2400000</v>
      </c>
      <c r="G15" s="3847"/>
      <c r="H15" s="3847"/>
    </row>
    <row r="16" spans="1:10">
      <c r="A16" s="650"/>
      <c r="D16" s="652" t="s">
        <v>2883</v>
      </c>
      <c r="F16" s="653">
        <f>Overview!C13</f>
        <v>84</v>
      </c>
      <c r="G16" s="654" t="s">
        <v>3247</v>
      </c>
      <c r="H16" s="1248">
        <f>Overview!E13</f>
        <v>71</v>
      </c>
    </row>
    <row r="17" spans="1:18">
      <c r="A17" s="650"/>
      <c r="D17" s="652" t="s">
        <v>2847</v>
      </c>
      <c r="F17" s="653" t="str">
        <f>Overview!C14</f>
        <v>Family</v>
      </c>
    </row>
    <row r="18" spans="1:18">
      <c r="A18" s="650"/>
      <c r="D18" s="652" t="s">
        <v>3251</v>
      </c>
      <c r="F18" s="1678" t="str">
        <f>Overview!H15</f>
        <v>Urban</v>
      </c>
    </row>
    <row r="19" spans="1:18">
      <c r="A19" s="650"/>
      <c r="D19" s="652" t="s">
        <v>3248</v>
      </c>
      <c r="F19" s="1678" t="str">
        <f>Overview!E16</f>
        <v>No</v>
      </c>
    </row>
    <row r="20" spans="1:18">
      <c r="A20" s="650"/>
      <c r="D20" s="652"/>
    </row>
    <row r="21" spans="1:18">
      <c r="A21" s="655" t="s">
        <v>2884</v>
      </c>
    </row>
    <row r="22" spans="1:18" ht="111.75" customHeight="1">
      <c r="A22" s="3854" t="s">
        <v>3428</v>
      </c>
      <c r="B22" s="3854"/>
      <c r="C22" s="3854"/>
      <c r="D22" s="3854"/>
      <c r="E22" s="3854"/>
      <c r="F22" s="3854"/>
      <c r="G22" s="3854"/>
      <c r="H22" s="3854"/>
      <c r="I22" s="3854"/>
      <c r="J22" s="3854"/>
      <c r="K22" s="3861" t="s">
        <v>4733</v>
      </c>
      <c r="L22" s="3861"/>
      <c r="M22" s="3861"/>
      <c r="N22" s="3861"/>
      <c r="O22" s="1682"/>
      <c r="P22" s="1682"/>
      <c r="Q22" s="1682"/>
      <c r="R22" s="1682"/>
    </row>
    <row r="23" spans="1:18" ht="0.75" hidden="1" customHeight="1">
      <c r="A23" s="1672"/>
      <c r="B23" s="1672"/>
      <c r="C23" s="1672"/>
      <c r="D23" s="1672"/>
      <c r="E23" s="1672"/>
      <c r="F23" s="1672"/>
      <c r="G23" s="1672"/>
      <c r="H23" s="1672"/>
      <c r="I23" s="1672"/>
      <c r="J23" s="1672"/>
    </row>
    <row r="24" spans="1:18" ht="9.75" hidden="1" customHeight="1">
      <c r="A24" s="3862"/>
      <c r="B24" s="3862"/>
      <c r="C24" s="3862"/>
      <c r="D24" s="3862"/>
      <c r="E24" s="3862"/>
      <c r="F24" s="3862"/>
      <c r="G24" s="3862"/>
      <c r="H24" s="3862"/>
      <c r="I24" s="3862"/>
      <c r="J24" s="3862"/>
    </row>
    <row r="25" spans="1:18" ht="10.5" hidden="1" customHeight="1">
      <c r="A25" s="3863"/>
      <c r="B25" s="3863"/>
      <c r="C25" s="3863"/>
      <c r="D25" s="3863"/>
      <c r="E25" s="3863"/>
      <c r="F25" s="3863"/>
      <c r="G25" s="3863"/>
      <c r="H25" s="3863"/>
      <c r="I25" s="3863"/>
      <c r="J25" s="3863"/>
    </row>
    <row r="26" spans="1:18">
      <c r="A26" s="655" t="s">
        <v>2885</v>
      </c>
    </row>
    <row r="27" spans="1:18" ht="14.25" customHeight="1">
      <c r="A27" s="3864" t="s">
        <v>2886</v>
      </c>
      <c r="B27" s="3864"/>
      <c r="C27" s="3864"/>
      <c r="D27" s="3864"/>
      <c r="E27" s="3864"/>
      <c r="F27" s="3864"/>
      <c r="G27" s="3864"/>
      <c r="H27" s="3864"/>
      <c r="I27" s="3864"/>
      <c r="J27" s="3864"/>
    </row>
    <row r="28" spans="1:18" ht="14.25" customHeight="1">
      <c r="A28" s="3864"/>
      <c r="B28" s="3864"/>
      <c r="C28" s="3864"/>
      <c r="D28" s="3864"/>
      <c r="E28" s="3864"/>
      <c r="F28" s="3864"/>
      <c r="G28" s="3864"/>
      <c r="H28" s="3864"/>
      <c r="I28" s="3864"/>
      <c r="J28" s="3864"/>
    </row>
    <row r="29" spans="1:18" ht="6.75" customHeight="1">
      <c r="A29" s="3864"/>
      <c r="B29" s="3864"/>
      <c r="C29" s="3864"/>
      <c r="D29" s="3864"/>
      <c r="E29" s="3864"/>
      <c r="F29" s="3864"/>
      <c r="G29" s="3864"/>
      <c r="H29" s="3864"/>
      <c r="I29" s="3864"/>
      <c r="J29" s="3864"/>
    </row>
    <row r="30" spans="1:18" ht="14.25" customHeight="1">
      <c r="A30" s="3864"/>
      <c r="B30" s="3864"/>
      <c r="C30" s="3864"/>
      <c r="D30" s="3864"/>
      <c r="E30" s="3864"/>
      <c r="F30" s="3864"/>
      <c r="G30" s="3864"/>
      <c r="H30" s="3864"/>
      <c r="I30" s="3864"/>
      <c r="J30" s="3864"/>
    </row>
    <row r="31" spans="1:18" ht="14.25" customHeight="1">
      <c r="A31" s="3864"/>
      <c r="B31" s="3864"/>
      <c r="C31" s="3864"/>
      <c r="D31" s="3864"/>
      <c r="E31" s="3864"/>
      <c r="F31" s="3864"/>
      <c r="G31" s="3864"/>
      <c r="H31" s="3864"/>
      <c r="I31" s="3864"/>
      <c r="J31" s="3864"/>
    </row>
    <row r="32" spans="1:18" ht="54.75" customHeight="1">
      <c r="A32" s="3864"/>
      <c r="B32" s="3864"/>
      <c r="C32" s="3864"/>
      <c r="D32" s="3864"/>
      <c r="E32" s="3864"/>
      <c r="F32" s="3864"/>
      <c r="G32" s="3864"/>
      <c r="H32" s="3864"/>
      <c r="I32" s="3864"/>
      <c r="J32" s="3864"/>
    </row>
    <row r="33" spans="1:10" ht="0.75" hidden="1" customHeight="1">
      <c r="A33" s="3864"/>
      <c r="B33" s="3864"/>
      <c r="C33" s="3864"/>
      <c r="D33" s="3864"/>
      <c r="E33" s="3864"/>
      <c r="F33" s="3864"/>
      <c r="G33" s="3864"/>
      <c r="H33" s="3864"/>
      <c r="I33" s="3864"/>
      <c r="J33" s="3864"/>
    </row>
    <row r="34" spans="1:10" ht="3.75" hidden="1" customHeight="1">
      <c r="A34" s="3864"/>
      <c r="B34" s="3864"/>
      <c r="C34" s="3864"/>
      <c r="D34" s="3864"/>
      <c r="E34" s="3864"/>
      <c r="F34" s="3864"/>
      <c r="G34" s="3864"/>
      <c r="H34" s="3864"/>
      <c r="I34" s="3864"/>
      <c r="J34" s="3864"/>
    </row>
    <row r="35" spans="1:10" ht="5.25" customHeight="1">
      <c r="A35" s="1674"/>
      <c r="B35" s="1674"/>
      <c r="C35" s="1674"/>
      <c r="D35" s="1674"/>
      <c r="E35" s="1674"/>
      <c r="F35" s="1674"/>
      <c r="G35" s="1674"/>
      <c r="H35" s="1674"/>
      <c r="I35" s="1674"/>
      <c r="J35" s="1674"/>
    </row>
    <row r="36" spans="1:10" ht="19.5" customHeight="1">
      <c r="A36" s="3862" t="s">
        <v>2887</v>
      </c>
      <c r="B36" s="3862"/>
      <c r="C36" s="3862"/>
      <c r="D36" s="1672"/>
      <c r="E36" s="1672"/>
      <c r="F36" s="1672"/>
      <c r="G36" s="1672"/>
      <c r="H36" s="1672"/>
      <c r="I36" s="1672"/>
      <c r="J36" s="1672"/>
    </row>
    <row r="37" spans="1:10" ht="15" customHeight="1">
      <c r="A37" s="3831"/>
      <c r="B37" s="3831"/>
      <c r="C37" s="3831"/>
      <c r="D37" s="3831"/>
      <c r="E37" s="3831"/>
      <c r="F37" s="3831"/>
      <c r="G37" s="3831"/>
      <c r="H37" s="3831"/>
      <c r="I37" s="3831"/>
      <c r="J37" s="3831"/>
    </row>
    <row r="38" spans="1:10" ht="33.75" customHeight="1">
      <c r="A38" s="3831"/>
      <c r="B38" s="3831"/>
      <c r="C38" s="3831"/>
      <c r="D38" s="3831"/>
      <c r="E38" s="3831"/>
      <c r="F38" s="3831"/>
      <c r="G38" s="3831"/>
      <c r="H38" s="3831"/>
      <c r="I38" s="3831"/>
      <c r="J38" s="3831"/>
    </row>
    <row r="39" spans="1:10" ht="2.25" customHeight="1">
      <c r="A39" s="1672"/>
      <c r="B39" s="1672"/>
      <c r="C39" s="1672"/>
      <c r="D39" s="1672"/>
      <c r="E39" s="1672"/>
      <c r="F39" s="1672"/>
      <c r="G39" s="1672"/>
      <c r="H39" s="1672"/>
      <c r="I39" s="1672"/>
      <c r="J39" s="1672"/>
    </row>
    <row r="40" spans="1:10">
      <c r="A40" s="655" t="s">
        <v>2888</v>
      </c>
    </row>
    <row r="41" spans="1:10" ht="135" customHeight="1">
      <c r="A41" s="3863" t="s">
        <v>4730</v>
      </c>
      <c r="B41" s="3863"/>
      <c r="C41" s="3863"/>
      <c r="D41" s="3863"/>
      <c r="E41" s="3863"/>
      <c r="F41" s="3863"/>
      <c r="G41" s="3863"/>
      <c r="H41" s="3863"/>
      <c r="I41" s="3863"/>
      <c r="J41" s="3863"/>
    </row>
    <row r="42" spans="1:10" ht="6" customHeight="1">
      <c r="A42" s="1673"/>
      <c r="B42" s="1673"/>
      <c r="C42" s="1673"/>
      <c r="D42" s="1673"/>
      <c r="E42" s="1673"/>
      <c r="F42" s="1673"/>
      <c r="G42" s="1673"/>
      <c r="H42" s="1673"/>
      <c r="I42" s="1673"/>
      <c r="J42" s="1673"/>
    </row>
    <row r="43" spans="1:10">
      <c r="A43" s="655" t="s">
        <v>2889</v>
      </c>
    </row>
    <row r="44" spans="1:10" ht="33" customHeight="1">
      <c r="A44" s="3831" t="s">
        <v>4035</v>
      </c>
      <c r="B44" s="3833"/>
      <c r="C44" s="3833"/>
      <c r="D44" s="3833"/>
      <c r="E44" s="3833"/>
      <c r="F44" s="3833"/>
      <c r="G44" s="3833"/>
      <c r="H44" s="3833"/>
      <c r="I44" s="3833"/>
      <c r="J44" s="3831"/>
    </row>
    <row r="45" spans="1:10" ht="3" customHeight="1"/>
    <row r="46" spans="1:10" ht="72.75" customHeight="1">
      <c r="A46" s="3831" t="s">
        <v>4036</v>
      </c>
      <c r="B46" s="3831"/>
      <c r="C46" s="3831"/>
      <c r="D46" s="3831"/>
      <c r="E46" s="3831"/>
      <c r="F46" s="3831"/>
      <c r="G46" s="3831"/>
      <c r="H46" s="3831"/>
      <c r="I46" s="3831"/>
      <c r="J46" s="3831"/>
    </row>
    <row r="47" spans="1:10" ht="3" customHeight="1">
      <c r="A47" s="1672"/>
      <c r="B47" s="1672"/>
      <c r="C47" s="1672"/>
      <c r="D47" s="1672"/>
      <c r="E47" s="1672"/>
      <c r="F47" s="1672"/>
      <c r="G47" s="1672"/>
      <c r="H47" s="1672"/>
      <c r="I47" s="1672"/>
      <c r="J47" s="1672"/>
    </row>
    <row r="48" spans="1:10" ht="56.25" customHeight="1">
      <c r="A48" s="3831" t="s">
        <v>4037</v>
      </c>
      <c r="B48" s="3831"/>
      <c r="C48" s="3831"/>
      <c r="D48" s="3831"/>
      <c r="E48" s="3831"/>
      <c r="F48" s="3831"/>
      <c r="G48" s="3831"/>
      <c r="H48" s="3831"/>
      <c r="I48" s="3831"/>
      <c r="J48" s="3831"/>
    </row>
    <row r="49" spans="1:17" ht="3" customHeight="1">
      <c r="A49" s="1672"/>
      <c r="B49" s="1672"/>
      <c r="C49" s="1672"/>
      <c r="D49" s="1672"/>
      <c r="E49" s="1672"/>
      <c r="F49" s="1672"/>
      <c r="G49" s="1672"/>
      <c r="H49" s="1672"/>
      <c r="I49" s="1672"/>
      <c r="J49" s="1672"/>
    </row>
    <row r="50" spans="1:17" ht="49.5" customHeight="1">
      <c r="A50" s="3831" t="s">
        <v>4038</v>
      </c>
      <c r="B50" s="3831"/>
      <c r="C50" s="3831"/>
      <c r="D50" s="3831"/>
      <c r="E50" s="3831"/>
      <c r="F50" s="3831"/>
      <c r="G50" s="3831"/>
      <c r="H50" s="3831"/>
      <c r="I50" s="3831"/>
      <c r="J50" s="1672"/>
    </row>
    <row r="51" spans="1:17" ht="3" customHeight="1">
      <c r="A51" s="1672"/>
      <c r="B51" s="1672"/>
      <c r="C51" s="1672"/>
      <c r="D51" s="1672"/>
      <c r="E51" s="1672"/>
      <c r="F51" s="1672"/>
      <c r="G51" s="1672"/>
      <c r="H51" s="1672"/>
      <c r="I51" s="1672"/>
      <c r="J51" s="1672"/>
    </row>
    <row r="52" spans="1:17" ht="54.75" customHeight="1">
      <c r="A52" s="3853" t="s">
        <v>3256</v>
      </c>
      <c r="B52" s="3851"/>
      <c r="C52" s="3851"/>
      <c r="D52" s="3851"/>
      <c r="E52" s="3851"/>
      <c r="F52" s="3851"/>
      <c r="G52" s="3851"/>
      <c r="H52" s="3851"/>
      <c r="I52" s="3851"/>
      <c r="J52" s="1672"/>
    </row>
    <row r="53" spans="1:17" ht="3" customHeight="1">
      <c r="A53" s="1672"/>
      <c r="B53" s="1672"/>
      <c r="C53" s="1672"/>
      <c r="D53" s="1672"/>
      <c r="E53" s="1672"/>
      <c r="F53" s="1672"/>
      <c r="G53" s="1672"/>
      <c r="H53" s="1672"/>
      <c r="I53" s="1672"/>
      <c r="J53" s="1672"/>
    </row>
    <row r="54" spans="1:17" ht="62.25" customHeight="1">
      <c r="A54" s="3851" t="s">
        <v>4039</v>
      </c>
      <c r="B54" s="3851"/>
      <c r="C54" s="3851"/>
      <c r="D54" s="3851"/>
      <c r="E54" s="3851"/>
      <c r="F54" s="3851"/>
      <c r="G54" s="3851"/>
      <c r="H54" s="3851"/>
      <c r="I54" s="3851"/>
      <c r="J54" s="3851"/>
    </row>
    <row r="55" spans="1:17" ht="3" customHeight="1"/>
    <row r="56" spans="1:17" ht="73.5" customHeight="1">
      <c r="A56" s="3831" t="s">
        <v>4040</v>
      </c>
      <c r="B56" s="3831"/>
      <c r="C56" s="3831"/>
      <c r="D56" s="3831"/>
      <c r="E56" s="3831"/>
      <c r="F56" s="3831"/>
      <c r="G56" s="3831"/>
      <c r="H56" s="3831"/>
      <c r="I56" s="3831"/>
      <c r="J56" s="3831"/>
    </row>
    <row r="57" spans="1:17" ht="6" customHeight="1">
      <c r="A57" s="1672" t="s">
        <v>240</v>
      </c>
      <c r="B57" s="1672"/>
      <c r="C57" s="1672"/>
      <c r="D57" s="1672"/>
      <c r="E57" s="1672"/>
      <c r="F57" s="1672"/>
      <c r="G57" s="1672"/>
      <c r="H57" s="1672"/>
      <c r="I57" s="1672"/>
      <c r="J57" s="1672"/>
    </row>
    <row r="58" spans="1:17">
      <c r="A58" s="655" t="s">
        <v>2892</v>
      </c>
      <c r="L58" s="656" t="s">
        <v>3420</v>
      </c>
    </row>
    <row r="59" spans="1:17" ht="73.5" customHeight="1">
      <c r="A59" s="3854" t="s">
        <v>2893</v>
      </c>
      <c r="B59" s="3854"/>
      <c r="C59" s="3854"/>
      <c r="D59" s="3854"/>
      <c r="E59" s="3854"/>
      <c r="F59" s="3854"/>
      <c r="G59" s="3854"/>
      <c r="H59" s="3854"/>
      <c r="I59" s="3854"/>
      <c r="J59" s="3854"/>
      <c r="L59" s="657">
        <f>'Closing term sheet'!C133</f>
        <v>900000</v>
      </c>
      <c r="M59" s="658"/>
      <c r="N59" s="658"/>
      <c r="O59" s="658"/>
    </row>
    <row r="60" spans="1:17" ht="7.5" customHeight="1">
      <c r="A60" s="1672"/>
      <c r="B60" s="1672"/>
      <c r="C60" s="1672"/>
      <c r="D60" s="1672"/>
      <c r="E60" s="1672"/>
      <c r="F60" s="1672"/>
      <c r="G60" s="1672"/>
      <c r="H60" s="1672"/>
      <c r="I60" s="1672"/>
      <c r="J60" s="1672"/>
      <c r="L60" s="659" t="s">
        <v>3421</v>
      </c>
      <c r="M60" s="660" t="s">
        <v>3426</v>
      </c>
      <c r="N60" s="661" t="s">
        <v>3423</v>
      </c>
      <c r="O60" s="659" t="s">
        <v>3422</v>
      </c>
      <c r="P60" s="660" t="s">
        <v>3425</v>
      </c>
      <c r="Q60" s="661" t="s">
        <v>3424</v>
      </c>
    </row>
    <row r="61" spans="1:17" ht="78.75" customHeight="1">
      <c r="A61" s="3851" t="s">
        <v>3329</v>
      </c>
      <c r="B61" s="3851"/>
      <c r="C61" s="3851"/>
      <c r="D61" s="3851"/>
      <c r="E61" s="3851"/>
      <c r="F61" s="3851"/>
      <c r="G61" s="3851"/>
      <c r="H61" s="3851"/>
      <c r="I61" s="3851"/>
      <c r="J61" s="662"/>
      <c r="L61" s="663">
        <f>'Part III-Sources of Funds'!I49</f>
        <v>7552521</v>
      </c>
      <c r="M61" s="664">
        <f>'Part IV-A-Uses of Funds'!$J$175</f>
        <v>858241</v>
      </c>
      <c r="N61" s="665">
        <f>'Part IV-A-Uses of Funds'!N168</f>
        <v>0.88</v>
      </c>
      <c r="O61" s="663">
        <f>'Part III-Sources of Funds'!I50</f>
        <v>4720326</v>
      </c>
      <c r="P61" s="664">
        <f>M61</f>
        <v>858241</v>
      </c>
      <c r="Q61" s="665">
        <f>'Part IV-A-Uses of Funds'!Q168</f>
        <v>0.55000000000000004</v>
      </c>
    </row>
    <row r="62" spans="1:17" ht="18.75" customHeight="1">
      <c r="A62" s="666" t="s">
        <v>2894</v>
      </c>
    </row>
    <row r="63" spans="1:17" ht="159.75" customHeight="1">
      <c r="A63" s="3851" t="s">
        <v>4041</v>
      </c>
      <c r="B63" s="3851"/>
      <c r="C63" s="3851"/>
      <c r="D63" s="3851"/>
      <c r="E63" s="3851"/>
      <c r="F63" s="3851"/>
      <c r="G63" s="3851"/>
      <c r="H63" s="3851"/>
      <c r="I63" s="3851"/>
      <c r="J63" s="3851"/>
      <c r="L63" s="667">
        <f>'Part VII-Pro Forma'!K71</f>
        <v>1664513.9517279672</v>
      </c>
      <c r="M63" s="3855" t="s">
        <v>3427</v>
      </c>
      <c r="N63" s="3856"/>
    </row>
    <row r="64" spans="1:17" ht="6" customHeight="1">
      <c r="A64" s="655"/>
    </row>
    <row r="65" spans="1:10">
      <c r="A65" s="655" t="s">
        <v>2895</v>
      </c>
    </row>
    <row r="66" spans="1:10" ht="66.75" customHeight="1">
      <c r="A66" s="3851" t="s">
        <v>2896</v>
      </c>
      <c r="B66" s="3851"/>
      <c r="C66" s="3851"/>
      <c r="D66" s="3851"/>
      <c r="E66" s="3851"/>
      <c r="F66" s="3851"/>
      <c r="G66" s="3851"/>
      <c r="H66" s="3851"/>
      <c r="I66" s="3851"/>
      <c r="J66" s="3851"/>
    </row>
    <row r="67" spans="1:10" ht="36" customHeight="1">
      <c r="A67" s="3851" t="s">
        <v>2897</v>
      </c>
      <c r="B67" s="3851"/>
      <c r="C67" s="3851"/>
      <c r="D67" s="3851"/>
      <c r="E67" s="3851"/>
      <c r="F67" s="3851"/>
      <c r="G67" s="3851"/>
      <c r="H67" s="3851"/>
      <c r="I67" s="3851"/>
      <c r="J67" s="3851"/>
    </row>
    <row r="68" spans="1:10" ht="6" customHeight="1">
      <c r="A68" s="655"/>
    </row>
    <row r="69" spans="1:10">
      <c r="A69" s="655" t="s">
        <v>2898</v>
      </c>
    </row>
    <row r="70" spans="1:10" ht="105.75" customHeight="1">
      <c r="A70" s="3831" t="s">
        <v>2899</v>
      </c>
      <c r="B70" s="3831"/>
      <c r="C70" s="3831"/>
      <c r="D70" s="3831"/>
      <c r="E70" s="3831"/>
      <c r="F70" s="3831"/>
      <c r="G70" s="3831"/>
      <c r="H70" s="3831"/>
      <c r="I70" s="3831"/>
      <c r="J70" s="3831"/>
    </row>
    <row r="71" spans="1:10" ht="6" customHeight="1">
      <c r="A71" s="655"/>
    </row>
    <row r="72" spans="1:10">
      <c r="A72" s="655" t="s">
        <v>2900</v>
      </c>
    </row>
    <row r="73" spans="1:10" ht="66" customHeight="1">
      <c r="A73" s="3831" t="s">
        <v>2901</v>
      </c>
      <c r="B73" s="3831"/>
      <c r="C73" s="3831"/>
      <c r="D73" s="3831"/>
      <c r="E73" s="3831"/>
      <c r="F73" s="3831"/>
      <c r="G73" s="3831"/>
      <c r="H73" s="3831"/>
      <c r="I73" s="3831"/>
      <c r="J73" s="3831"/>
    </row>
    <row r="74" spans="1:10" s="1674" customFormat="1" ht="6" customHeight="1">
      <c r="A74" s="3831"/>
      <c r="B74" s="3831"/>
      <c r="C74" s="3831"/>
      <c r="D74" s="3831"/>
      <c r="E74" s="3831"/>
      <c r="F74" s="3831"/>
      <c r="G74" s="3831"/>
      <c r="H74" s="3831"/>
      <c r="I74" s="3831"/>
      <c r="J74" s="3831"/>
    </row>
    <row r="75" spans="1:10" ht="16.5" customHeight="1">
      <c r="A75" s="1676" t="s">
        <v>2902</v>
      </c>
      <c r="B75" s="654"/>
      <c r="C75" s="654"/>
      <c r="D75" s="1678"/>
      <c r="E75" s="654"/>
      <c r="F75" s="654"/>
      <c r="G75" s="654"/>
      <c r="H75" s="654"/>
      <c r="I75" s="654"/>
      <c r="J75" s="668"/>
    </row>
    <row r="76" spans="1:10" s="1674" customFormat="1" ht="63" customHeight="1">
      <c r="A76" s="3831" t="s">
        <v>4250</v>
      </c>
      <c r="B76" s="3831"/>
      <c r="C76" s="3831"/>
      <c r="D76" s="3831"/>
      <c r="E76" s="3831"/>
      <c r="F76" s="3831"/>
      <c r="G76" s="3831"/>
      <c r="H76" s="3831"/>
      <c r="I76" s="3831"/>
      <c r="J76" s="3831"/>
    </row>
    <row r="77" spans="1:10" s="1674" customFormat="1" ht="6" customHeight="1">
      <c r="A77" s="1672"/>
      <c r="B77" s="1672"/>
      <c r="C77" s="1672"/>
      <c r="D77" s="1672"/>
      <c r="E77" s="1672"/>
      <c r="F77" s="1672"/>
      <c r="G77" s="1672"/>
      <c r="H77" s="1672"/>
      <c r="I77" s="1672"/>
      <c r="J77" s="1672"/>
    </row>
    <row r="78" spans="1:10" ht="16.5" customHeight="1">
      <c r="A78" s="3858" t="s">
        <v>2903</v>
      </c>
      <c r="B78" s="3859"/>
      <c r="C78" s="3859"/>
      <c r="D78" s="654"/>
      <c r="E78" s="654"/>
      <c r="F78" s="654"/>
      <c r="G78" s="654"/>
      <c r="H78" s="654"/>
      <c r="I78" s="654"/>
      <c r="J78" s="668"/>
    </row>
    <row r="79" spans="1:10" ht="41.25" customHeight="1">
      <c r="A79" s="3851" t="s">
        <v>4042</v>
      </c>
      <c r="B79" s="3860"/>
      <c r="C79" s="3860"/>
      <c r="D79" s="3860"/>
      <c r="E79" s="3860"/>
      <c r="F79" s="3860"/>
      <c r="G79" s="3860"/>
      <c r="H79" s="3860"/>
      <c r="I79" s="3860"/>
      <c r="J79" s="3860"/>
    </row>
    <row r="80" spans="1:10" ht="6" customHeight="1">
      <c r="A80" s="669"/>
      <c r="B80" s="654"/>
      <c r="C80" s="654"/>
      <c r="D80" s="654"/>
      <c r="E80" s="654"/>
      <c r="F80" s="654"/>
      <c r="G80" s="654"/>
      <c r="H80" s="654"/>
      <c r="I80" s="654"/>
      <c r="J80" s="668"/>
    </row>
    <row r="81" spans="1:15">
      <c r="A81" s="655" t="s">
        <v>2904</v>
      </c>
    </row>
    <row r="82" spans="1:15" ht="139.5" customHeight="1">
      <c r="A82" s="3851" t="s">
        <v>2905</v>
      </c>
      <c r="B82" s="3851"/>
      <c r="C82" s="3851"/>
      <c r="D82" s="3851"/>
      <c r="E82" s="3851"/>
      <c r="F82" s="3851"/>
      <c r="G82" s="3851"/>
      <c r="H82" s="3851"/>
      <c r="I82" s="3851"/>
      <c r="J82" s="3851"/>
      <c r="L82" s="3861" t="s">
        <v>2906</v>
      </c>
      <c r="M82" s="3861"/>
      <c r="N82" s="3861"/>
    </row>
    <row r="83" spans="1:15" ht="6" customHeight="1">
      <c r="A83" s="1675"/>
      <c r="B83" s="1675"/>
      <c r="C83" s="1675"/>
      <c r="D83" s="1675"/>
      <c r="E83" s="1675"/>
      <c r="F83" s="1675"/>
      <c r="G83" s="1675"/>
      <c r="H83" s="1675"/>
      <c r="I83" s="1675"/>
      <c r="J83" s="1675"/>
      <c r="L83" s="1677"/>
      <c r="M83" s="1677"/>
      <c r="N83" s="1677"/>
    </row>
    <row r="84" spans="1:15" ht="17.25" customHeight="1">
      <c r="A84" s="655" t="s">
        <v>2907</v>
      </c>
    </row>
    <row r="85" spans="1:15" ht="111" customHeight="1">
      <c r="A85" s="3851" t="s">
        <v>2908</v>
      </c>
      <c r="B85" s="3851"/>
      <c r="C85" s="3851"/>
      <c r="D85" s="3851"/>
      <c r="E85" s="3851"/>
      <c r="F85" s="3851"/>
      <c r="G85" s="3851"/>
      <c r="H85" s="3851"/>
      <c r="I85" s="3851"/>
      <c r="J85" s="3851"/>
      <c r="L85" s="3861" t="s">
        <v>2909</v>
      </c>
      <c r="M85" s="3861"/>
      <c r="N85" s="670" t="e">
        <f>'After-Tax Analysis'!G66</f>
        <v>#VALUE!</v>
      </c>
      <c r="O85" s="671" t="s">
        <v>2910</v>
      </c>
    </row>
    <row r="86" spans="1:15" ht="6" customHeight="1">
      <c r="A86" s="655"/>
    </row>
    <row r="87" spans="1:15">
      <c r="A87" s="655" t="s">
        <v>2911</v>
      </c>
    </row>
    <row r="88" spans="1:15" ht="118.5" customHeight="1">
      <c r="A88" s="3831" t="s">
        <v>2912</v>
      </c>
      <c r="B88" s="3831"/>
      <c r="C88" s="3831"/>
      <c r="D88" s="3831"/>
      <c r="E88" s="3831"/>
      <c r="F88" s="3831"/>
      <c r="G88" s="3831"/>
      <c r="H88" s="3831"/>
      <c r="I88" s="3831"/>
      <c r="J88" s="3831"/>
    </row>
    <row r="89" spans="1:15" ht="20.25" customHeight="1">
      <c r="A89" s="3833" t="s">
        <v>2913</v>
      </c>
      <c r="B89" s="3833"/>
      <c r="C89" s="3833"/>
      <c r="D89" s="3831"/>
      <c r="E89" s="1672"/>
      <c r="F89" s="1672"/>
      <c r="G89" s="1672"/>
      <c r="H89" s="1672"/>
      <c r="I89" s="1672"/>
      <c r="J89" s="1672"/>
    </row>
    <row r="90" spans="1:15" ht="109.5" customHeight="1">
      <c r="A90" s="3849" t="s">
        <v>2914</v>
      </c>
      <c r="B90" s="3850"/>
      <c r="C90" s="3850"/>
      <c r="D90" s="3850"/>
      <c r="E90" s="3850"/>
      <c r="F90" s="3850"/>
      <c r="G90" s="3850"/>
      <c r="H90" s="3850"/>
      <c r="I90" s="3850"/>
      <c r="J90" s="3850"/>
    </row>
    <row r="91" spans="1:15" ht="11.25" customHeight="1">
      <c r="A91" s="655"/>
    </row>
    <row r="92" spans="1:15">
      <c r="A92" s="655" t="s">
        <v>2915</v>
      </c>
    </row>
    <row r="93" spans="1:15" ht="122.25" customHeight="1">
      <c r="A93" s="3854" t="s">
        <v>2916</v>
      </c>
      <c r="B93" s="3854"/>
      <c r="C93" s="3854"/>
      <c r="D93" s="3854"/>
      <c r="E93" s="3854"/>
      <c r="F93" s="3854"/>
      <c r="G93" s="3854"/>
      <c r="H93" s="3854"/>
      <c r="I93" s="3854"/>
      <c r="J93" s="3854"/>
      <c r="L93" s="1252">
        <f>'Part VII-Pro Forma'!K71</f>
        <v>1664513.9517279672</v>
      </c>
      <c r="M93" s="3857" t="s">
        <v>2917</v>
      </c>
      <c r="N93" s="3857"/>
    </row>
    <row r="94" spans="1:15" ht="11.25" hidden="1" customHeight="1">
      <c r="A94" s="1672"/>
      <c r="B94" s="1672"/>
      <c r="C94" s="1672"/>
      <c r="D94" s="1672"/>
      <c r="E94" s="1672"/>
      <c r="F94" s="1672"/>
      <c r="G94" s="1672"/>
      <c r="H94" s="1672"/>
      <c r="I94" s="1672"/>
      <c r="J94" s="1672"/>
    </row>
    <row r="95" spans="1:15" ht="12" hidden="1" customHeight="1">
      <c r="A95" s="1672"/>
      <c r="B95" s="1672"/>
      <c r="C95" s="1672"/>
      <c r="D95" s="1672"/>
      <c r="E95" s="1672"/>
      <c r="F95" s="1672"/>
      <c r="G95" s="1672"/>
      <c r="H95" s="1672"/>
      <c r="I95" s="1672"/>
      <c r="J95" s="668"/>
    </row>
    <row r="96" spans="1:15" ht="6" customHeight="1">
      <c r="A96" s="1672"/>
      <c r="B96" s="1672"/>
      <c r="C96" s="1672"/>
      <c r="D96" s="1672"/>
      <c r="E96" s="1672"/>
      <c r="F96" s="1672"/>
      <c r="G96" s="1672"/>
      <c r="H96" s="1672"/>
      <c r="I96" s="1672"/>
      <c r="J96" s="668"/>
    </row>
    <row r="97" spans="1:10" ht="17.25" customHeight="1">
      <c r="A97" s="3833" t="s">
        <v>2918</v>
      </c>
      <c r="B97" s="3833"/>
      <c r="C97" s="3833"/>
      <c r="D97" s="1672"/>
      <c r="E97" s="1672"/>
      <c r="F97" s="1672"/>
      <c r="G97" s="1672"/>
      <c r="H97" s="1672"/>
      <c r="I97" s="1672"/>
      <c r="J97" s="668"/>
    </row>
    <row r="98" spans="1:10" ht="37.5" customHeight="1">
      <c r="A98" s="3851" t="s">
        <v>2919</v>
      </c>
      <c r="B98" s="3851"/>
      <c r="C98" s="3851"/>
      <c r="D98" s="3851"/>
      <c r="E98" s="3851"/>
      <c r="F98" s="3851"/>
      <c r="G98" s="3851"/>
      <c r="H98" s="3851"/>
      <c r="I98" s="3851"/>
      <c r="J98" s="3851"/>
    </row>
    <row r="99" spans="1:10" ht="6" customHeight="1">
      <c r="A99" s="655"/>
    </row>
    <row r="100" spans="1:10">
      <c r="A100" s="655" t="s">
        <v>2920</v>
      </c>
    </row>
    <row r="101" spans="1:10" ht="43.5" customHeight="1">
      <c r="A101" s="3831" t="s">
        <v>2921</v>
      </c>
      <c r="B101" s="3831"/>
      <c r="C101" s="3831"/>
      <c r="D101" s="3831"/>
      <c r="E101" s="3831"/>
      <c r="F101" s="3831"/>
      <c r="G101" s="3831"/>
      <c r="H101" s="3831"/>
      <c r="I101" s="3831"/>
      <c r="J101" s="3831"/>
    </row>
    <row r="102" spans="1:10" ht="6" customHeight="1">
      <c r="A102" s="1672"/>
      <c r="B102" s="1672"/>
      <c r="C102" s="1672"/>
      <c r="D102" s="1672"/>
      <c r="E102" s="1672"/>
      <c r="F102" s="1672"/>
      <c r="G102" s="1672"/>
      <c r="H102" s="1672"/>
      <c r="I102" s="1672"/>
      <c r="J102" s="1672"/>
    </row>
    <row r="103" spans="1:10">
      <c r="A103" s="655" t="s">
        <v>2922</v>
      </c>
    </row>
    <row r="105" spans="1:10">
      <c r="A105" s="3852" t="s">
        <v>2923</v>
      </c>
      <c r="B105" s="3852"/>
      <c r="C105" s="3852"/>
      <c r="D105" s="3852"/>
      <c r="E105" s="3852"/>
      <c r="F105" s="3852"/>
      <c r="G105" s="3852"/>
      <c r="H105" s="3852"/>
      <c r="I105" s="3852"/>
      <c r="J105" s="3852"/>
    </row>
    <row r="107" spans="1:10" ht="14.4" thickBot="1">
      <c r="A107" s="672"/>
      <c r="B107" s="649" t="s">
        <v>2924</v>
      </c>
    </row>
    <row r="110" spans="1:10" ht="14.4" thickBot="1">
      <c r="A110" s="672"/>
      <c r="B110" s="649" t="s">
        <v>2925</v>
      </c>
    </row>
    <row r="112" spans="1:10">
      <c r="A112" s="649" t="s">
        <v>2926</v>
      </c>
    </row>
    <row r="115" spans="1:10" ht="14.4" thickBot="1">
      <c r="A115" s="672"/>
      <c r="B115" s="672"/>
      <c r="C115" s="672"/>
      <c r="D115" s="672"/>
      <c r="E115" s="672"/>
      <c r="H115" s="672"/>
      <c r="I115" s="672"/>
      <c r="J115" s="672"/>
    </row>
    <row r="116" spans="1:10">
      <c r="A116" s="3848" t="s">
        <v>4734</v>
      </c>
      <c r="B116" s="3848"/>
      <c r="C116" s="3848"/>
      <c r="D116" s="3848"/>
      <c r="E116" s="3848"/>
      <c r="H116" s="3848" t="s">
        <v>2927</v>
      </c>
      <c r="I116" s="3848"/>
      <c r="J116" s="3848"/>
    </row>
    <row r="118" spans="1:10" ht="14.4" thickBot="1">
      <c r="A118" s="649" t="s">
        <v>2928</v>
      </c>
      <c r="B118" s="672"/>
      <c r="C118" s="672"/>
      <c r="H118" s="649" t="s">
        <v>2928</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49" customWidth="1"/>
    <col min="2" max="2" width="1.88671875" style="649" customWidth="1"/>
    <col min="3" max="3" width="13" style="649" customWidth="1"/>
    <col min="4" max="4" width="11.109375" style="649" customWidth="1"/>
    <col min="5" max="5" width="14.88671875" style="649" customWidth="1"/>
    <col min="6" max="6" width="15.109375" style="649" customWidth="1"/>
    <col min="7" max="7" width="11.88671875" style="649" customWidth="1"/>
    <col min="8" max="8" width="11.44140625" style="649" customWidth="1"/>
    <col min="9" max="9" width="10.5546875" style="649" customWidth="1"/>
    <col min="10" max="10" width="6" style="649" customWidth="1"/>
    <col min="11" max="11" width="12.88671875" style="649" customWidth="1"/>
    <col min="12" max="12" width="10.88671875" style="649" customWidth="1"/>
    <col min="13" max="13" width="26.109375" style="649" customWidth="1"/>
    <col min="14" max="14" width="9.109375" style="649"/>
    <col min="15" max="15" width="12.44140625" style="649" customWidth="1"/>
    <col min="16" max="16" width="9.109375" style="649"/>
    <col min="17" max="17" width="11.88671875" style="649" bestFit="1" customWidth="1"/>
    <col min="18" max="16384" width="9.109375" style="649"/>
  </cols>
  <sheetData>
    <row r="1" spans="1:15" ht="13.5" customHeight="1">
      <c r="A1" s="650" t="s">
        <v>2989</v>
      </c>
      <c r="B1" s="734"/>
      <c r="C1" s="649" t="str">
        <f>Overview!C8</f>
        <v>Haven at South Atlanta</v>
      </c>
    </row>
    <row r="2" spans="1:15" ht="13.5" customHeight="1"/>
    <row r="3" spans="1:15" ht="13.5" customHeight="1">
      <c r="A3" s="650" t="s">
        <v>2990</v>
      </c>
      <c r="C3" s="649" t="s">
        <v>2991</v>
      </c>
      <c r="E3" s="735">
        <f>SUM('Part IV-A-Uses of Funds'!J149,'Part IV-A-Uses of Funds'!M149,'Part IV-A-Uses of Funds'!P149)</f>
        <v>13641585</v>
      </c>
      <c r="F3" s="1323" t="s">
        <v>2992</v>
      </c>
      <c r="H3" s="1295">
        <v>27.5</v>
      </c>
      <c r="I3" s="649" t="s">
        <v>2437</v>
      </c>
      <c r="K3" s="654" t="s">
        <v>3013</v>
      </c>
      <c r="M3" s="1323"/>
      <c r="O3" s="736"/>
    </row>
    <row r="4" spans="1:15" ht="13.5" customHeight="1">
      <c r="C4" s="649" t="s">
        <v>3485</v>
      </c>
      <c r="E4" s="735">
        <f>SUM('Part IV-A-Uses of Funds'!G85:H89)</f>
        <v>89000</v>
      </c>
      <c r="F4" s="1323" t="s">
        <v>4252</v>
      </c>
      <c r="H4" s="650">
        <f>'Part III-Sources of Funds'!M38</f>
        <v>35</v>
      </c>
      <c r="I4" s="649" t="s">
        <v>2437</v>
      </c>
      <c r="K4" s="737" t="s">
        <v>3257</v>
      </c>
      <c r="M4" s="1323"/>
    </row>
    <row r="5" spans="1:15" ht="13.5" customHeight="1">
      <c r="C5" s="649" t="s">
        <v>3486</v>
      </c>
      <c r="E5" s="735">
        <f>SUM('Part IV-A-Uses of Funds'!G96:H102)</f>
        <v>149360</v>
      </c>
      <c r="F5" s="1323" t="s">
        <v>4251</v>
      </c>
      <c r="H5" s="1295">
        <v>15</v>
      </c>
      <c r="I5" s="649" t="s">
        <v>2437</v>
      </c>
      <c r="K5" s="736">
        <f>-E6</f>
        <v>-12272847</v>
      </c>
    </row>
    <row r="6" spans="1:15" ht="13.5" customHeight="1">
      <c r="C6" s="649" t="s">
        <v>2993</v>
      </c>
      <c r="E6" s="738">
        <f>'Part III-Sources of Funds'!$I$49+'Part III-Sources of Funds'!$I$50</f>
        <v>12272847</v>
      </c>
      <c r="F6" s="1323" t="s">
        <v>2994</v>
      </c>
      <c r="H6" s="739">
        <v>0.35</v>
      </c>
      <c r="K6" s="736" t="e">
        <f>C24</f>
        <v>#VALUE!</v>
      </c>
      <c r="M6" s="649" t="s">
        <v>2995</v>
      </c>
      <c r="O6" s="740">
        <f>Overview!K32</f>
        <v>0</v>
      </c>
    </row>
    <row r="7" spans="1:15" ht="13.5" customHeight="1">
      <c r="K7" s="736" t="e">
        <f>D24</f>
        <v>#VALUE!</v>
      </c>
      <c r="O7" s="741"/>
    </row>
    <row r="8" spans="1:15" ht="13.5" customHeight="1">
      <c r="A8" s="650" t="s">
        <v>2448</v>
      </c>
      <c r="C8" s="742">
        <v>1</v>
      </c>
      <c r="D8" s="742">
        <v>2</v>
      </c>
      <c r="E8" s="742">
        <v>3</v>
      </c>
      <c r="F8" s="742">
        <v>4</v>
      </c>
      <c r="G8" s="742">
        <v>5</v>
      </c>
      <c r="H8" s="742">
        <v>6</v>
      </c>
      <c r="I8" s="742">
        <v>7</v>
      </c>
      <c r="K8" s="736" t="e">
        <f>E24</f>
        <v>#VALUE!</v>
      </c>
      <c r="M8" s="649" t="s">
        <v>2996</v>
      </c>
      <c r="O8" s="1258" t="e">
        <f>'Part VII-Pro Forma'!$K$71+'Part VII-Pro Forma'!$K$72+'Part VII-Pro Forma'!$K$73</f>
        <v>#VALUE!</v>
      </c>
    </row>
    <row r="9" spans="1:15" ht="13.5" customHeight="1">
      <c r="A9" s="649" t="s">
        <v>2997</v>
      </c>
      <c r="C9" s="743">
        <f>'Part VII-Pro Forma'!B32</f>
        <v>31285.450841147336</v>
      </c>
      <c r="D9" s="743">
        <f>'Part VII-Pro Forma'!C32</f>
        <v>31914.788729147345</v>
      </c>
      <c r="E9" s="743">
        <f>'Part VII-Pro Forma'!D32</f>
        <v>32424.076174907357</v>
      </c>
      <c r="F9" s="743">
        <f>'Part VII-Pro Forma'!E32</f>
        <v>32808.245653582446</v>
      </c>
      <c r="G9" s="743">
        <f>'Part VII-Pro Forma'!F32</f>
        <v>33058.989294351224</v>
      </c>
      <c r="H9" s="743">
        <f>'Part VII-Pro Forma'!G32</f>
        <v>33170.750503630989</v>
      </c>
      <c r="I9" s="743">
        <f>'Part VII-Pro Forma'!H32</f>
        <v>33135.715313662658</v>
      </c>
      <c r="K9" s="736" t="e">
        <f>F24</f>
        <v>#VALUE!</v>
      </c>
      <c r="N9" s="744" t="s">
        <v>2999</v>
      </c>
    </row>
    <row r="10" spans="1:15" ht="13.5" customHeight="1">
      <c r="A10" s="649" t="s">
        <v>2998</v>
      </c>
      <c r="C10" s="1255">
        <f>'Part III-Sources of Funds'!I38-'Part VII-Pro Forma'!B39</f>
        <v>18542.386993778404</v>
      </c>
      <c r="D10" s="745">
        <f>'Part VII-Pro Forma'!B39-'Part VII-Pro Forma'!C39</f>
        <v>19784.204991299659</v>
      </c>
      <c r="E10" s="745">
        <f>'Part VII-Pro Forma'!C39-'Part VII-Pro Forma'!D39</f>
        <v>21109.189839965198</v>
      </c>
      <c r="F10" s="745">
        <f>'Part VII-Pro Forma'!D39-'Part VII-Pro Forma'!E39</f>
        <v>22522.911377820652</v>
      </c>
      <c r="G10" s="745">
        <f>'Part VII-Pro Forma'!E39-'Part VII-Pro Forma'!F39</f>
        <v>24031.312465282623</v>
      </c>
      <c r="H10" s="745">
        <f>'Part VII-Pro Forma'!F39-'Part VII-Pro Forma'!G39</f>
        <v>25640.733967134263</v>
      </c>
      <c r="I10" s="745">
        <f>'Part VII-Pro Forma'!G39-'Part VII-Pro Forma'!H39</f>
        <v>27357.941407618113</v>
      </c>
      <c r="K10" s="736" t="e">
        <f>G24</f>
        <v>#VALUE!</v>
      </c>
      <c r="N10" s="744" t="s">
        <v>3000</v>
      </c>
      <c r="O10" s="741"/>
    </row>
    <row r="11" spans="1:15" ht="13.5" customHeight="1">
      <c r="A11" s="649" t="s">
        <v>2998</v>
      </c>
      <c r="C11" s="1255">
        <f>'Part III-Sources of Funds'!I39-'Part VII-Pro Forma'!B40</f>
        <v>24659.820189762162</v>
      </c>
      <c r="D11" s="745">
        <f>'Part VII-Pro Forma'!B40-'Part VII-Pro Forma'!C40</f>
        <v>24907.551778873429</v>
      </c>
      <c r="E11" s="745">
        <f>'Part VII-Pro Forma'!C40-'Part VII-Pro Forma'!D40</f>
        <v>25157.772069839528</v>
      </c>
      <c r="F11" s="745">
        <f>'Part VII-Pro Forma'!D40-'Part VII-Pro Forma'!E40</f>
        <v>25410.506064061541</v>
      </c>
      <c r="G11" s="745">
        <f>'Part VII-Pro Forma'!E40-'Part VII-Pro Forma'!F40</f>
        <v>25665.779014104744</v>
      </c>
      <c r="H11" s="745">
        <f>'Part VII-Pro Forma'!F40-'Part VII-Pro Forma'!G40</f>
        <v>25923.616426219465</v>
      </c>
      <c r="I11" s="745">
        <f>'Part VII-Pro Forma'!G40-'Part VII-Pro Forma'!H40</f>
        <v>26184.044062891509</v>
      </c>
      <c r="K11" s="736" t="e">
        <f>H24</f>
        <v>#VALUE!</v>
      </c>
      <c r="O11" s="741"/>
    </row>
    <row r="12" spans="1:15" ht="13.5" customHeight="1">
      <c r="A12" s="649" t="s">
        <v>2998</v>
      </c>
      <c r="C12" s="1255"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3002</v>
      </c>
      <c r="N12" s="746">
        <v>0.06</v>
      </c>
      <c r="O12" s="741">
        <f>N12*O6</f>
        <v>0</v>
      </c>
    </row>
    <row r="13" spans="1:15" ht="13.5" customHeight="1">
      <c r="A13" s="747" t="s">
        <v>3488</v>
      </c>
      <c r="B13" s="748"/>
      <c r="C13" s="1256">
        <f>'Part VII-Pro Forma'!B22</f>
        <v>-21000</v>
      </c>
      <c r="D13" s="1256">
        <f>'Part VII-Pro Forma'!C22</f>
        <v>-21630</v>
      </c>
      <c r="E13" s="1256">
        <f>'Part VII-Pro Forma'!D22</f>
        <v>-22278.899999999998</v>
      </c>
      <c r="F13" s="1256">
        <f>'Part VII-Pro Forma'!E22</f>
        <v>-22947.267</v>
      </c>
      <c r="G13" s="1256">
        <f>'Part VII-Pro Forma'!F22</f>
        <v>-23635.685009999997</v>
      </c>
      <c r="H13" s="1256">
        <f>'Part VII-Pro Forma'!G22</f>
        <v>-24344.755560299996</v>
      </c>
      <c r="I13" s="1256">
        <f>'Part VII-Pro Forma'!H22</f>
        <v>-25075.098227109</v>
      </c>
      <c r="K13" s="736" t="e">
        <f>C44</f>
        <v>#VALUE!</v>
      </c>
      <c r="O13" s="741"/>
    </row>
    <row r="14" spans="1:15" ht="13.5" customHeight="1">
      <c r="A14" s="747" t="s">
        <v>3489</v>
      </c>
      <c r="B14" s="748"/>
      <c r="C14" s="1256">
        <f>'Part VII-Pro Forma'!B31</f>
        <v>0</v>
      </c>
      <c r="D14" s="1256">
        <f>'Part VII-Pro Forma'!C31</f>
        <v>0</v>
      </c>
      <c r="E14" s="1256">
        <f>'Part VII-Pro Forma'!D31</f>
        <v>0</v>
      </c>
      <c r="F14" s="1256">
        <f>'Part VII-Pro Forma'!E31</f>
        <v>0</v>
      </c>
      <c r="G14" s="1256">
        <f>'Part VII-Pro Forma'!F31</f>
        <v>0</v>
      </c>
      <c r="H14" s="1256">
        <f>'Part VII-Pro Forma'!G31</f>
        <v>0</v>
      </c>
      <c r="I14" s="1256">
        <f>'Part VII-Pro Forma'!H31</f>
        <v>0</v>
      </c>
      <c r="K14" s="736" t="e">
        <f>D44</f>
        <v>#VALUE!</v>
      </c>
      <c r="M14" s="649" t="s">
        <v>3005</v>
      </c>
      <c r="O14" s="741" t="e">
        <f>O6-O8-O12</f>
        <v>#VALUE!</v>
      </c>
    </row>
    <row r="15" spans="1:15" ht="13.5" customHeight="1">
      <c r="A15" s="749" t="s">
        <v>3001</v>
      </c>
      <c r="C15" s="750">
        <f t="shared" ref="C15:I15" si="0">$E$3/$H$3</f>
        <v>496057.63636363635</v>
      </c>
      <c r="D15" s="750">
        <f t="shared" si="0"/>
        <v>496057.63636363635</v>
      </c>
      <c r="E15" s="750">
        <f t="shared" si="0"/>
        <v>496057.63636363635</v>
      </c>
      <c r="F15" s="750">
        <f t="shared" si="0"/>
        <v>496057.63636363635</v>
      </c>
      <c r="G15" s="750">
        <f t="shared" si="0"/>
        <v>496057.63636363635</v>
      </c>
      <c r="H15" s="750">
        <f t="shared" si="0"/>
        <v>496057.63636363635</v>
      </c>
      <c r="I15" s="750">
        <f t="shared" si="0"/>
        <v>496057.63636363635</v>
      </c>
      <c r="K15" s="736" t="e">
        <f>E44</f>
        <v>#VALUE!</v>
      </c>
      <c r="O15" s="741"/>
    </row>
    <row r="16" spans="1:15" ht="13.5" customHeight="1">
      <c r="A16" s="749" t="s">
        <v>3003</v>
      </c>
      <c r="C16" s="750">
        <f>IF(C$8&lt;=$H$4,($E$4/$H$4),0)+IF(C$8&lt;=$H$5,($E$5/$H$5),0)</f>
        <v>12500.190476190477</v>
      </c>
      <c r="D16" s="750">
        <f t="shared" ref="D16:I16" si="1">IF(D$8&lt;=$H$4,($E$4/$H$4),0)+IF(D$8&lt;=$H$5,($E$5/$H$5),0)</f>
        <v>12500.190476190477</v>
      </c>
      <c r="E16" s="750">
        <f t="shared" si="1"/>
        <v>12500.190476190477</v>
      </c>
      <c r="F16" s="750">
        <f t="shared" si="1"/>
        <v>12500.190476190477</v>
      </c>
      <c r="G16" s="750">
        <f t="shared" si="1"/>
        <v>12500.190476190477</v>
      </c>
      <c r="H16" s="750">
        <f t="shared" si="1"/>
        <v>12500.190476190477</v>
      </c>
      <c r="I16" s="750">
        <f t="shared" si="1"/>
        <v>12500.190476190477</v>
      </c>
      <c r="K16" s="736" t="e">
        <f>F44</f>
        <v>#VALUE!</v>
      </c>
      <c r="M16" s="649" t="s">
        <v>3007</v>
      </c>
      <c r="O16" s="741">
        <f>E3</f>
        <v>13641585</v>
      </c>
    </row>
    <row r="17" spans="1:17" ht="13.5" customHeight="1">
      <c r="A17" s="749" t="s">
        <v>3004</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3001</v>
      </c>
      <c r="O17" s="741">
        <f>20*(E3/H3)</f>
        <v>9921152.7272727266</v>
      </c>
    </row>
    <row r="18" spans="1:17" ht="13.5" customHeight="1">
      <c r="A18" s="749" t="s">
        <v>3006</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3011</v>
      </c>
      <c r="O19" s="741">
        <f>O16-O17</f>
        <v>3720432.2727272734</v>
      </c>
    </row>
    <row r="20" spans="1:17" ht="13.5" customHeight="1">
      <c r="A20" s="649" t="s">
        <v>3008</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3009</v>
      </c>
      <c r="C21" s="751">
        <f>'Part IV-A-Uses of Funds'!$J$175</f>
        <v>858241</v>
      </c>
      <c r="D21" s="751">
        <f t="shared" ref="D21:I21" si="5">C21</f>
        <v>858241</v>
      </c>
      <c r="E21" s="751">
        <f t="shared" si="5"/>
        <v>858241</v>
      </c>
      <c r="F21" s="751">
        <f t="shared" si="5"/>
        <v>858241</v>
      </c>
      <c r="G21" s="751">
        <f t="shared" si="5"/>
        <v>858241</v>
      </c>
      <c r="H21" s="751">
        <f t="shared" si="5"/>
        <v>858241</v>
      </c>
      <c r="I21" s="751">
        <f t="shared" si="5"/>
        <v>858241</v>
      </c>
      <c r="J21" s="649" t="s">
        <v>240</v>
      </c>
      <c r="K21" s="736" t="e">
        <f>D64</f>
        <v>#VALUE!</v>
      </c>
      <c r="O21" s="741"/>
    </row>
    <row r="22" spans="1:17" ht="13.5" customHeight="1">
      <c r="A22" s="649" t="s">
        <v>3010</v>
      </c>
      <c r="C22" s="751">
        <f>C21</f>
        <v>858241</v>
      </c>
      <c r="D22" s="751">
        <f t="shared" ref="D22:I22" si="6">D21</f>
        <v>858241</v>
      </c>
      <c r="E22" s="751">
        <f t="shared" si="6"/>
        <v>858241</v>
      </c>
      <c r="F22" s="751">
        <f t="shared" si="6"/>
        <v>858241</v>
      </c>
      <c r="G22" s="751">
        <f t="shared" si="6"/>
        <v>858241</v>
      </c>
      <c r="H22" s="751">
        <f t="shared" si="6"/>
        <v>858241</v>
      </c>
      <c r="I22" s="751">
        <f t="shared" si="6"/>
        <v>858241</v>
      </c>
      <c r="K22" s="736" t="e">
        <f>E64</f>
        <v>#VALUE!</v>
      </c>
      <c r="M22" s="649" t="s">
        <v>2995</v>
      </c>
      <c r="O22" s="741">
        <f>O6</f>
        <v>0</v>
      </c>
    </row>
    <row r="23" spans="1:17" ht="13.5" customHeight="1">
      <c r="A23" s="649" t="s">
        <v>3012</v>
      </c>
      <c r="C23" s="743">
        <v>0</v>
      </c>
      <c r="D23" s="743">
        <v>0</v>
      </c>
      <c r="E23" s="743">
        <v>0</v>
      </c>
      <c r="F23" s="743">
        <v>0</v>
      </c>
      <c r="G23" s="743">
        <v>0</v>
      </c>
      <c r="H23" s="743">
        <v>0</v>
      </c>
      <c r="I23" s="743">
        <v>0</v>
      </c>
      <c r="K23" s="736" t="e">
        <f>F64</f>
        <v>#VALUE!</v>
      </c>
      <c r="M23" s="649" t="s">
        <v>3014</v>
      </c>
      <c r="O23" s="741">
        <f>O19</f>
        <v>3720432.2727272734</v>
      </c>
    </row>
    <row r="24" spans="1:17" ht="13.5" customHeight="1">
      <c r="A24" s="649" t="s">
        <v>3013</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3015</v>
      </c>
      <c r="O25" s="741">
        <f>O22-O23</f>
        <v>-3720432.2727272734</v>
      </c>
      <c r="Q25" s="752"/>
    </row>
    <row r="26" spans="1:17" ht="13.5" customHeight="1">
      <c r="A26" s="753"/>
      <c r="B26" s="753"/>
      <c r="C26" s="753"/>
      <c r="D26" s="753"/>
      <c r="E26" s="753"/>
      <c r="F26" s="753"/>
      <c r="G26" s="753"/>
      <c r="H26" s="753"/>
      <c r="I26" s="753"/>
      <c r="K26" s="736"/>
      <c r="O26" s="741"/>
    </row>
    <row r="27" spans="1:17" ht="13.5" customHeight="1">
      <c r="K27" s="736"/>
      <c r="M27" s="649" t="s">
        <v>3016</v>
      </c>
      <c r="N27" s="754"/>
      <c r="O27" s="746">
        <v>0.2</v>
      </c>
    </row>
    <row r="28" spans="1:17" ht="13.5" customHeight="1">
      <c r="A28" s="650" t="s">
        <v>2448</v>
      </c>
      <c r="B28" s="650"/>
      <c r="C28" s="742">
        <v>8</v>
      </c>
      <c r="D28" s="742">
        <v>9</v>
      </c>
      <c r="E28" s="742">
        <v>10</v>
      </c>
      <c r="F28" s="742">
        <v>11</v>
      </c>
      <c r="G28" s="742">
        <v>12</v>
      </c>
      <c r="H28" s="742">
        <v>13</v>
      </c>
      <c r="I28" s="742">
        <v>14</v>
      </c>
      <c r="N28" s="754"/>
      <c r="O28" s="754"/>
    </row>
    <row r="29" spans="1:17" ht="13.5" customHeight="1">
      <c r="A29" s="649" t="s">
        <v>2997</v>
      </c>
      <c r="C29" s="743">
        <f>'Part VII-Pro Forma'!I32</f>
        <v>32946.803447758342</v>
      </c>
      <c r="D29" s="743">
        <f>'Part VII-Pro Forma'!J32</f>
        <v>32596.659093235619</v>
      </c>
      <c r="E29" s="743">
        <f>'Part VII-Pro Forma'!K32</f>
        <v>32076.641372782673</v>
      </c>
      <c r="F29" s="743">
        <f>'Part VII-Pro Forma'!B64</f>
        <v>31377.81450471576</v>
      </c>
      <c r="G29" s="743">
        <f>'Part VII-Pro Forma'!C64</f>
        <v>30493.937642286357</v>
      </c>
      <c r="H29" s="743">
        <f>'Part VII-Pro Forma'!D64</f>
        <v>29413.454381897784</v>
      </c>
      <c r="I29" s="743">
        <f>'Part VII-Pro Forma'!E64</f>
        <v>28129.481929768808</v>
      </c>
      <c r="N29" s="754"/>
      <c r="O29" s="754"/>
    </row>
    <row r="30" spans="1:17" ht="13.5" customHeight="1">
      <c r="A30" s="649" t="s">
        <v>2998</v>
      </c>
      <c r="C30" s="745">
        <f>'Part VII-Pro Forma'!H39-'Part VII-Pro Forma'!I39</f>
        <v>29190.153410663363</v>
      </c>
      <c r="D30" s="745">
        <f>'Part VII-Pro Forma'!I39-'Part VII-Pro Forma'!J39</f>
        <v>31145.07204481354</v>
      </c>
      <c r="E30" s="745">
        <f>'Part VII-Pro Forma'!J39-'Part VII-Pro Forma'!K39</f>
        <v>33230.915200407617</v>
      </c>
      <c r="F30" s="1253">
        <f>'Part VII-Pro Forma'!K39-'Part VII-Pro Forma'!B71</f>
        <v>35456.451135118026</v>
      </c>
      <c r="G30" s="1253">
        <f>'Part VII-Pro Forma'!B71-'Part VII-Pro Forma'!C71</f>
        <v>37831.035333074396</v>
      </c>
      <c r="H30" s="1253">
        <f>'Part VII-Pro Forma'!C71-'Part VII-Pro Forma'!D71</f>
        <v>40364.649832504336</v>
      </c>
      <c r="I30" s="1253">
        <f>'Part VII-Pro Forma'!D71-'Part VII-Pro Forma'!E71</f>
        <v>43067.945187221281</v>
      </c>
    </row>
    <row r="31" spans="1:17" ht="13.5" customHeight="1">
      <c r="A31" s="649" t="s">
        <v>2998</v>
      </c>
      <c r="C31" s="745">
        <f>'Part VII-Pro Forma'!H40-'Part VII-Pro Forma'!I40</f>
        <v>26447.087945415522</v>
      </c>
      <c r="D31" s="745">
        <f>'Part VII-Pro Forma'!I40-'Part VII-Pro Forma'!J40</f>
        <v>26712.774356495007</v>
      </c>
      <c r="E31" s="745">
        <f>'Part VII-Pro Forma'!J40-'Part VII-Pro Forma'!K40</f>
        <v>26981.129842868424</v>
      </c>
      <c r="F31" s="1253">
        <f>'Part VII-Pro Forma'!K40-'Part VII-Pro Forma'!B72</f>
        <v>27252.181217961828</v>
      </c>
      <c r="G31" s="1253">
        <f>'Part VII-Pro Forma'!B72-'Part VII-Pro Forma'!C72</f>
        <v>27525.955564567819</v>
      </c>
      <c r="H31" s="1253">
        <f>'Part VII-Pro Forma'!C72-'Part VII-Pro Forma'!D72</f>
        <v>27802.480237551732</v>
      </c>
      <c r="I31" s="1253">
        <f>'Part VII-Pro Forma'!D72-'Part VII-Pro Forma'!E72</f>
        <v>28081.782866584719</v>
      </c>
      <c r="K31" s="649" t="s">
        <v>240</v>
      </c>
      <c r="M31" s="649" t="s">
        <v>3017</v>
      </c>
      <c r="O31" s="743">
        <f>O25*O27</f>
        <v>-744086.4545454547</v>
      </c>
    </row>
    <row r="32" spans="1:17" ht="13.5" customHeight="1">
      <c r="A32" s="649" t="s">
        <v>2998</v>
      </c>
      <c r="C32" s="745" t="e">
        <f>'Part VII-Pro Forma'!H41-'Part VII-Pro Forma'!I41</f>
        <v>#VALUE!</v>
      </c>
      <c r="D32" s="745" t="e">
        <f>'Part VII-Pro Forma'!I41-'Part VII-Pro Forma'!J41</f>
        <v>#VALUE!</v>
      </c>
      <c r="E32" s="745" t="e">
        <f>'Part VII-Pro Forma'!J41-'Part VII-Pro Forma'!K41</f>
        <v>#VALUE!</v>
      </c>
      <c r="F32" s="1253" t="e">
        <f>'Part VII-Pro Forma'!K41-'Part VII-Pro Forma'!B73</f>
        <v>#VALUE!</v>
      </c>
      <c r="G32" s="1253" t="e">
        <f>'Part VII-Pro Forma'!B73-'Part VII-Pro Forma'!C73</f>
        <v>#VALUE!</v>
      </c>
      <c r="H32" s="1253" t="e">
        <f>'Part VII-Pro Forma'!C73-'Part VII-Pro Forma'!D73</f>
        <v>#VALUE!</v>
      </c>
      <c r="I32" s="1253" t="e">
        <f>'Part VII-Pro Forma'!D73-'Part VII-Pro Forma'!E73</f>
        <v>#VALUE!</v>
      </c>
    </row>
    <row r="33" spans="1:15" ht="13.5" customHeight="1">
      <c r="A33" s="747" t="s">
        <v>3488</v>
      </c>
      <c r="B33" s="748"/>
      <c r="C33" s="1256">
        <f>'Part VII-Pro Forma'!I22</f>
        <v>-25827.35117392227</v>
      </c>
      <c r="D33" s="1256">
        <f>'Part VII-Pro Forma'!J22</f>
        <v>-26602.171709139933</v>
      </c>
      <c r="E33" s="1256">
        <f>'Part VII-Pro Forma'!K22</f>
        <v>-27400.236860414134</v>
      </c>
      <c r="F33" s="1256">
        <f>'Part VII-Pro Forma'!B54</f>
        <v>-28222.243966226557</v>
      </c>
      <c r="G33" s="1256">
        <f>'Part VII-Pro Forma'!C54</f>
        <v>-29068.911285213355</v>
      </c>
      <c r="H33" s="1256">
        <f>'Part VII-Pro Forma'!D54</f>
        <v>-29940.978623769752</v>
      </c>
      <c r="I33" s="1256">
        <f>'Part VII-Pro Forma'!E54</f>
        <v>-30839.207982482843</v>
      </c>
      <c r="K33" s="649" t="s">
        <v>240</v>
      </c>
      <c r="M33" s="649" t="s">
        <v>3018</v>
      </c>
      <c r="O33" s="743" t="e">
        <f>O14-O31</f>
        <v>#VALUE!</v>
      </c>
    </row>
    <row r="34" spans="1:15" ht="13.5" customHeight="1">
      <c r="A34" s="747" t="s">
        <v>3489</v>
      </c>
      <c r="B34" s="748"/>
      <c r="C34" s="1256">
        <f>'Part VII-Pro Forma'!I31</f>
        <v>0</v>
      </c>
      <c r="D34" s="1256">
        <f>'Part VII-Pro Forma'!J31</f>
        <v>0</v>
      </c>
      <c r="E34" s="1256">
        <f>'Part VII-Pro Forma'!K31</f>
        <v>0</v>
      </c>
      <c r="F34" s="1256">
        <f>'Part VII-Pro Forma'!B63</f>
        <v>0</v>
      </c>
      <c r="G34" s="1256">
        <f>'Part VII-Pro Forma'!C63</f>
        <v>0</v>
      </c>
      <c r="H34" s="1256">
        <f>'Part VII-Pro Forma'!D63</f>
        <v>0</v>
      </c>
      <c r="I34" s="1256">
        <f>'Part VII-Pro Forma'!E63</f>
        <v>0</v>
      </c>
    </row>
    <row r="35" spans="1:15" ht="13.5" customHeight="1">
      <c r="A35" s="749" t="s">
        <v>3001</v>
      </c>
      <c r="C35" s="750">
        <f t="shared" ref="C35:I35" si="8">$E$3/$H$3</f>
        <v>496057.63636363635</v>
      </c>
      <c r="D35" s="750">
        <f t="shared" si="8"/>
        <v>496057.63636363635</v>
      </c>
      <c r="E35" s="750">
        <f t="shared" si="8"/>
        <v>496057.63636363635</v>
      </c>
      <c r="F35" s="750">
        <f t="shared" si="8"/>
        <v>496057.63636363635</v>
      </c>
      <c r="G35" s="750">
        <f t="shared" si="8"/>
        <v>496057.63636363635</v>
      </c>
      <c r="H35" s="750">
        <f t="shared" si="8"/>
        <v>496057.63636363635</v>
      </c>
      <c r="I35" s="750">
        <f t="shared" si="8"/>
        <v>496057.63636363635</v>
      </c>
    </row>
    <row r="36" spans="1:15" ht="13.5" customHeight="1">
      <c r="A36" s="749" t="s">
        <v>3003</v>
      </c>
      <c r="C36" s="743">
        <f>IF(C$28&lt;=$H$4,($E$4/$H$4),0)+IF(C$28&lt;=$H$5,($E$5/$H$5),0)</f>
        <v>12500.190476190477</v>
      </c>
      <c r="D36" s="743">
        <f t="shared" ref="D36:I36" si="9">IF(D$28&lt;=$H$4,($E$4/$H$4),0)+IF(D$28&lt;=$H$5,($E$5/$H$5),0)</f>
        <v>12500.190476190477</v>
      </c>
      <c r="E36" s="743">
        <f t="shared" si="9"/>
        <v>12500.190476190477</v>
      </c>
      <c r="F36" s="743">
        <f t="shared" si="9"/>
        <v>12500.190476190477</v>
      </c>
      <c r="G36" s="743">
        <f t="shared" si="9"/>
        <v>12500.190476190477</v>
      </c>
      <c r="H36" s="743">
        <f t="shared" si="9"/>
        <v>12500.190476190477</v>
      </c>
      <c r="I36" s="743">
        <f t="shared" si="9"/>
        <v>12500.190476190477</v>
      </c>
    </row>
    <row r="37" spans="1:15" ht="13.5" customHeight="1">
      <c r="A37" s="749" t="s">
        <v>3004</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3006</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3008</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3009</v>
      </c>
      <c r="C41" s="751">
        <f>C21</f>
        <v>858241</v>
      </c>
      <c r="D41" s="751">
        <f>C41</f>
        <v>858241</v>
      </c>
      <c r="E41" s="751">
        <f>D41</f>
        <v>858241</v>
      </c>
      <c r="F41" s="751">
        <v>0</v>
      </c>
      <c r="G41" s="751">
        <v>0</v>
      </c>
      <c r="H41" s="751">
        <v>0</v>
      </c>
      <c r="I41" s="751">
        <v>0</v>
      </c>
    </row>
    <row r="42" spans="1:15" ht="13.5" customHeight="1">
      <c r="A42" s="649" t="s">
        <v>3010</v>
      </c>
      <c r="C42" s="751">
        <f>C22</f>
        <v>858241</v>
      </c>
      <c r="D42" s="751">
        <f>C42</f>
        <v>858241</v>
      </c>
      <c r="E42" s="751">
        <f>D42</f>
        <v>858241</v>
      </c>
      <c r="F42" s="751">
        <v>0</v>
      </c>
      <c r="G42" s="751">
        <v>0</v>
      </c>
      <c r="H42" s="751">
        <v>0</v>
      </c>
      <c r="I42" s="751">
        <v>0</v>
      </c>
    </row>
    <row r="43" spans="1:15" ht="13.5" customHeight="1">
      <c r="A43" s="649" t="s">
        <v>3012</v>
      </c>
      <c r="C43" s="745">
        <v>0</v>
      </c>
      <c r="D43" s="745">
        <v>0</v>
      </c>
      <c r="E43" s="745">
        <v>0</v>
      </c>
      <c r="F43" s="745">
        <v>0</v>
      </c>
      <c r="G43" s="745">
        <v>0</v>
      </c>
      <c r="H43" s="745">
        <v>0</v>
      </c>
      <c r="I43" s="745">
        <v>0</v>
      </c>
    </row>
    <row r="44" spans="1:15" ht="13.5" customHeight="1">
      <c r="A44" s="649" t="s">
        <v>3013</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2448</v>
      </c>
      <c r="B48" s="650"/>
      <c r="C48" s="742">
        <v>15</v>
      </c>
      <c r="D48" s="650">
        <v>16</v>
      </c>
      <c r="E48" s="650">
        <v>17</v>
      </c>
      <c r="F48" s="650">
        <v>18</v>
      </c>
      <c r="G48" s="650">
        <v>19</v>
      </c>
      <c r="H48" s="650">
        <v>20</v>
      </c>
    </row>
    <row r="49" spans="1:10" ht="13.5" customHeight="1">
      <c r="A49" s="649" t="s">
        <v>2997</v>
      </c>
      <c r="C49" s="743">
        <f>'Part VII-Pro Forma'!F64</f>
        <v>26630.799916268996</v>
      </c>
      <c r="D49" s="743">
        <f>'Part VII-Pro Forma'!G61</f>
        <v>0</v>
      </c>
      <c r="E49" s="743">
        <f>'Part VII-Pro Forma'!H61</f>
        <v>0</v>
      </c>
      <c r="F49" s="743">
        <f>'Part VII-Pro Forma'!I61</f>
        <v>0</v>
      </c>
      <c r="G49" s="743">
        <f>'Part VII-Pro Forma'!J61</f>
        <v>0</v>
      </c>
      <c r="H49" s="743">
        <f>'Part VII-Pro Forma'!K61</f>
        <v>0</v>
      </c>
    </row>
    <row r="50" spans="1:10" ht="13.5" customHeight="1">
      <c r="A50" s="649" t="s">
        <v>2998</v>
      </c>
      <c r="C50" s="1254">
        <f>'Part VII-Pro Forma'!E71-'Part VII-Pro Forma'!F71</f>
        <v>45952.28523835307</v>
      </c>
      <c r="D50" s="1254">
        <f>'Part VII-Pro Forma'!F71-'Part VII-Pro Forma'!G71</f>
        <v>49029.794884514995</v>
      </c>
      <c r="E50" s="1254">
        <f>'Part VII-Pro Forma'!G71-'Part VII-Pro Forma'!H71</f>
        <v>52313.411051235627</v>
      </c>
      <c r="F50" s="1254">
        <f>'Part VII-Pro Forma'!H71-'Part VII-Pro Forma'!I71</f>
        <v>55816.937073907349</v>
      </c>
      <c r="G50" s="1254">
        <f>'Part VII-Pro Forma'!I71-'Part VII-Pro Forma'!J71</f>
        <v>59555.100722856354</v>
      </c>
      <c r="H50" s="1254">
        <f>'Part VII-Pro Forma'!J71-'Part VII-Pro Forma'!K71</f>
        <v>63543.61611446389</v>
      </c>
    </row>
    <row r="51" spans="1:10" ht="13.5" customHeight="1">
      <c r="A51" s="649" t="s">
        <v>2998</v>
      </c>
      <c r="C51" s="1254">
        <f>'Part VII-Pro Forma'!E72-'Part VII-Pro Forma'!F72</f>
        <v>28363.891358904773</v>
      </c>
      <c r="D51" s="1254">
        <f>'Part VII-Pro Forma'!F72-'Part VII-Pro Forma'!G72</f>
        <v>28648.833902104525</v>
      </c>
      <c r="E51" s="1254">
        <f>'Part VII-Pro Forma'!G72-'Part VII-Pro Forma'!H72</f>
        <v>28936.638966948492</v>
      </c>
      <c r="F51" s="1254">
        <f>'Part VII-Pro Forma'!H72-'Part VII-Pro Forma'!I72</f>
        <v>29227.335310216877</v>
      </c>
      <c r="G51" s="1254">
        <f>'Part VII-Pro Forma'!I72-'Part VII-Pro Forma'!J72</f>
        <v>29520.951977579854</v>
      </c>
      <c r="H51" s="1254">
        <f>'Part VII-Pro Forma'!J72-'Part VII-Pro Forma'!K72</f>
        <v>29817.518306498881</v>
      </c>
    </row>
    <row r="52" spans="1:10" ht="13.5" customHeight="1">
      <c r="A52" s="649" t="s">
        <v>2998</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3488</v>
      </c>
      <c r="B53" s="748"/>
      <c r="C53" s="1256">
        <f>'Part VII-Pro Forma'!F54</f>
        <v>-31764.384221957331</v>
      </c>
      <c r="D53" s="1256">
        <f>'Part VII-Pro Forma'!G54</f>
        <v>-32717.315748616053</v>
      </c>
      <c r="E53" s="1256">
        <f>'Part VII-Pro Forma'!H54</f>
        <v>-33698.835221074529</v>
      </c>
      <c r="F53" s="1256">
        <f>'Part VII-Pro Forma'!I54</f>
        <v>-34709.800277706767</v>
      </c>
      <c r="G53" s="1256">
        <f>'Part VII-Pro Forma'!J54</f>
        <v>-35751.094286037966</v>
      </c>
      <c r="H53" s="1256">
        <f>'Part VII-Pro Forma'!K54</f>
        <v>-36823.627114619107</v>
      </c>
    </row>
    <row r="54" spans="1:10" ht="13.5" customHeight="1">
      <c r="A54" s="747" t="s">
        <v>3489</v>
      </c>
      <c r="C54" s="1257">
        <f>'Part VII-Pro Forma'!F63</f>
        <v>0</v>
      </c>
      <c r="D54" s="1257">
        <f>'Part VII-Pro Forma'!G63</f>
        <v>0</v>
      </c>
      <c r="E54" s="1257">
        <f>'Part VII-Pro Forma'!H63</f>
        <v>0</v>
      </c>
      <c r="F54" s="1257">
        <f>'Part VII-Pro Forma'!I63</f>
        <v>0</v>
      </c>
      <c r="G54" s="1257">
        <f>'Part VII-Pro Forma'!J63</f>
        <v>0</v>
      </c>
      <c r="H54" s="1257">
        <f>'Part VII-Pro Forma'!K63</f>
        <v>0</v>
      </c>
    </row>
    <row r="55" spans="1:10" ht="13.5" customHeight="1">
      <c r="A55" s="749" t="s">
        <v>3001</v>
      </c>
      <c r="C55" s="750">
        <f t="shared" ref="C55:H55" si="14">$E$3/$H$3</f>
        <v>496057.63636363635</v>
      </c>
      <c r="D55" s="750">
        <f t="shared" si="14"/>
        <v>496057.63636363635</v>
      </c>
      <c r="E55" s="750">
        <f t="shared" si="14"/>
        <v>496057.63636363635</v>
      </c>
      <c r="F55" s="750">
        <f t="shared" si="14"/>
        <v>496057.63636363635</v>
      </c>
      <c r="G55" s="750">
        <f t="shared" si="14"/>
        <v>496057.63636363635</v>
      </c>
      <c r="H55" s="750">
        <f t="shared" si="14"/>
        <v>496057.63636363635</v>
      </c>
    </row>
    <row r="56" spans="1:10" ht="13.5" customHeight="1">
      <c r="A56" s="749" t="s">
        <v>3003</v>
      </c>
      <c r="C56" s="743">
        <f t="shared" ref="C56:H56" si="15">IF(C$48&lt;=$H$4,($E$4/$H$4),0)+IF(C$48&lt;=$H$5,($E$5/$H$5),0)</f>
        <v>12500.190476190477</v>
      </c>
      <c r="D56" s="743">
        <f t="shared" si="15"/>
        <v>2542.8571428571427</v>
      </c>
      <c r="E56" s="743">
        <f t="shared" si="15"/>
        <v>2542.8571428571427</v>
      </c>
      <c r="F56" s="743">
        <f t="shared" si="15"/>
        <v>2542.8571428571427</v>
      </c>
      <c r="G56" s="743">
        <f t="shared" si="15"/>
        <v>2542.8571428571427</v>
      </c>
      <c r="H56" s="743">
        <f t="shared" si="15"/>
        <v>2542.8571428571427</v>
      </c>
    </row>
    <row r="57" spans="1:10" ht="13.5" customHeight="1">
      <c r="A57" s="749" t="s">
        <v>3004</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3006</v>
      </c>
      <c r="C58" s="750" t="e">
        <f t="shared" ref="C58:H58" si="17">C57*$H$6</f>
        <v>#VALUE!</v>
      </c>
      <c r="D58" s="750" t="e">
        <f t="shared" si="17"/>
        <v>#VALUE!</v>
      </c>
      <c r="E58" s="750" t="e">
        <f t="shared" si="17"/>
        <v>#VALUE!</v>
      </c>
      <c r="F58" s="750" t="e">
        <f t="shared" si="17"/>
        <v>#VALUE!</v>
      </c>
      <c r="G58" s="750" t="e">
        <f t="shared" si="17"/>
        <v>#VALUE!</v>
      </c>
      <c r="H58" s="750" t="e">
        <f t="shared" si="17"/>
        <v>#VALUE!</v>
      </c>
      <c r="J58" s="649" t="s">
        <v>240</v>
      </c>
    </row>
    <row r="59" spans="1:10" s="756" customFormat="1" ht="16.5" customHeight="1">
      <c r="A59" s="649"/>
      <c r="B59" s="649"/>
      <c r="C59" s="743"/>
      <c r="D59" s="743"/>
      <c r="E59" s="743"/>
      <c r="F59" s="743"/>
      <c r="G59" s="743"/>
      <c r="H59" s="743"/>
      <c r="I59" s="649"/>
      <c r="J59" s="649"/>
    </row>
    <row r="60" spans="1:10">
      <c r="A60" s="649" t="s">
        <v>3008</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3009</v>
      </c>
      <c r="C61" s="750">
        <v>0</v>
      </c>
      <c r="D61" s="750">
        <v>0</v>
      </c>
      <c r="E61" s="750">
        <v>0</v>
      </c>
      <c r="F61" s="750">
        <v>0</v>
      </c>
      <c r="G61" s="750">
        <v>0</v>
      </c>
      <c r="H61" s="743">
        <v>0</v>
      </c>
    </row>
    <row r="62" spans="1:10">
      <c r="A62" s="649" t="s">
        <v>3010</v>
      </c>
      <c r="C62" s="750">
        <v>0</v>
      </c>
      <c r="D62" s="743">
        <v>0</v>
      </c>
      <c r="E62" s="743">
        <v>0</v>
      </c>
      <c r="F62" s="743">
        <v>0</v>
      </c>
      <c r="G62" s="743">
        <v>0</v>
      </c>
      <c r="H62" s="743">
        <v>0</v>
      </c>
    </row>
    <row r="63" spans="1:10">
      <c r="A63" s="649" t="s">
        <v>3012</v>
      </c>
      <c r="C63" s="743">
        <v>0</v>
      </c>
      <c r="D63" s="743">
        <v>0</v>
      </c>
      <c r="E63" s="743">
        <v>0</v>
      </c>
      <c r="F63" s="743">
        <v>0</v>
      </c>
      <c r="G63" s="743">
        <v>0</v>
      </c>
      <c r="H63" s="743" t="e">
        <f>O33</f>
        <v>#VALUE!</v>
      </c>
    </row>
    <row r="64" spans="1:10">
      <c r="A64" s="649" t="s">
        <v>3013</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3019</v>
      </c>
      <c r="G66" s="3865" t="e">
        <f>IRR(K5:K25)</f>
        <v>#VALUE!</v>
      </c>
      <c r="H66" s="3866"/>
      <c r="I66" s="756"/>
      <c r="J66" s="75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548" customWidth="1"/>
    <col min="2" max="4" width="10.88671875" style="548" customWidth="1"/>
    <col min="5" max="5" width="15.88671875" style="548" customWidth="1"/>
    <col min="6" max="8" width="10.88671875" style="548" customWidth="1"/>
    <col min="9" max="16384" width="9.109375" style="548"/>
  </cols>
  <sheetData>
    <row r="1" spans="1:8" ht="21.9" customHeight="1">
      <c r="B1" s="3868" t="str">
        <f>Overview!C8</f>
        <v>Haven at South Atlanta</v>
      </c>
      <c r="C1" s="3868"/>
      <c r="D1" s="3868"/>
      <c r="E1" s="3868"/>
      <c r="F1" s="3868"/>
      <c r="G1" s="3868"/>
      <c r="H1" s="1296"/>
    </row>
    <row r="2" spans="1:8" ht="21.9" customHeight="1">
      <c r="A2" s="1324"/>
      <c r="B2" s="1324"/>
      <c r="C2" s="1324"/>
      <c r="D2" s="1324"/>
      <c r="E2" s="1324"/>
      <c r="F2" s="1324"/>
      <c r="G2" s="1324"/>
      <c r="H2" s="1324"/>
    </row>
    <row r="3" spans="1:8" ht="20.25" customHeight="1">
      <c r="C3" s="3867" t="s">
        <v>3020</v>
      </c>
      <c r="D3" s="3867"/>
      <c r="E3" s="3867"/>
      <c r="F3" s="3867"/>
    </row>
    <row r="5" spans="1:8" ht="15.6">
      <c r="D5" s="1259"/>
      <c r="E5" s="1259" t="s">
        <v>3021</v>
      </c>
    </row>
    <row r="6" spans="1:8" ht="15.6">
      <c r="D6" s="1297" t="s">
        <v>2448</v>
      </c>
      <c r="E6" s="1297" t="s">
        <v>3022</v>
      </c>
    </row>
    <row r="7" spans="1:8" ht="15">
      <c r="D7" s="1260"/>
      <c r="E7" s="1260"/>
    </row>
    <row r="8" spans="1:8" ht="21" customHeight="1">
      <c r="D8" s="1261">
        <v>1</v>
      </c>
      <c r="E8" s="1262">
        <f>-'Part VII-Pro Forma'!B25/12</f>
        <v>14499.703629904388</v>
      </c>
    </row>
    <row r="9" spans="1:8" ht="21" customHeight="1">
      <c r="D9" s="1261">
        <v>2</v>
      </c>
      <c r="E9" s="1262">
        <f>-'Part VII-Pro Forma'!C25/12</f>
        <v>14499.703629904388</v>
      </c>
    </row>
    <row r="10" spans="1:8" ht="21" customHeight="1">
      <c r="D10" s="1261">
        <v>3</v>
      </c>
      <c r="E10" s="1262">
        <f>-'Part VII-Pro Forma'!D25/12</f>
        <v>14499.703629904388</v>
      </c>
    </row>
    <row r="11" spans="1:8" ht="21" customHeight="1">
      <c r="D11" s="1263">
        <v>4</v>
      </c>
      <c r="E11" s="1262">
        <f>-'Part VII-Pro Forma'!E25/12</f>
        <v>14499.703629904388</v>
      </c>
    </row>
    <row r="12" spans="1:8" ht="21" customHeight="1">
      <c r="D12" s="1263">
        <v>5</v>
      </c>
      <c r="E12" s="1262">
        <f>-'Part VII-Pro Forma'!F25/12</f>
        <v>14499.703629904388</v>
      </c>
    </row>
    <row r="13" spans="1:8" ht="21" customHeight="1">
      <c r="D13" s="1261">
        <v>6</v>
      </c>
      <c r="E13" s="1262">
        <f>-'Part VII-Pro Forma'!G25/12</f>
        <v>14499.703629904388</v>
      </c>
    </row>
    <row r="14" spans="1:8" ht="21" customHeight="1">
      <c r="D14" s="1261">
        <v>7</v>
      </c>
      <c r="E14" s="1262">
        <f>-'Part VII-Pro Forma'!H25/12</f>
        <v>14499.703629904388</v>
      </c>
    </row>
    <row r="15" spans="1:8" ht="21" customHeight="1">
      <c r="D15" s="1263">
        <v>8</v>
      </c>
      <c r="E15" s="1262">
        <f>-'Part VII-Pro Forma'!I25/12</f>
        <v>14499.703629904388</v>
      </c>
    </row>
    <row r="16" spans="1:8" ht="21" customHeight="1">
      <c r="D16" s="1261">
        <v>9</v>
      </c>
      <c r="E16" s="1262">
        <f>-'Part VII-Pro Forma'!J25/12</f>
        <v>14499.703629904388</v>
      </c>
    </row>
    <row r="17" spans="4:8" ht="21" customHeight="1">
      <c r="D17" s="1261">
        <v>10</v>
      </c>
      <c r="E17" s="1262">
        <f>-'Part VII-Pro Forma'!K25/12</f>
        <v>14499.703629904388</v>
      </c>
    </row>
    <row r="18" spans="4:8" ht="21" customHeight="1">
      <c r="D18" s="1263">
        <v>11</v>
      </c>
      <c r="E18" s="1262">
        <f>-'Part VII-Pro Forma'!B57/12</f>
        <v>14499.703629904388</v>
      </c>
    </row>
    <row r="19" spans="4:8" ht="21" customHeight="1">
      <c r="D19" s="1261">
        <v>12</v>
      </c>
      <c r="E19" s="1262">
        <f>-'Part VII-Pro Forma'!C57/12</f>
        <v>14499.703629904388</v>
      </c>
    </row>
    <row r="20" spans="4:8" ht="21" customHeight="1">
      <c r="D20" s="1261">
        <v>13</v>
      </c>
      <c r="E20" s="1262">
        <f>-'Part VII-Pro Forma'!D57/12</f>
        <v>14499.703629904388</v>
      </c>
    </row>
    <row r="21" spans="4:8" ht="21" customHeight="1">
      <c r="D21" s="1261">
        <v>14</v>
      </c>
      <c r="E21" s="1262">
        <f>-'Part VII-Pro Forma'!E57/12</f>
        <v>14499.703629904388</v>
      </c>
    </row>
    <row r="22" spans="4:8" ht="21" customHeight="1">
      <c r="D22" s="1261">
        <v>15</v>
      </c>
      <c r="E22" s="1262">
        <f>-'Part VII-Pro Forma'!F57/12</f>
        <v>14499.703629904388</v>
      </c>
    </row>
    <row r="23" spans="4:8" ht="21" customHeight="1">
      <c r="D23" s="1261">
        <v>16</v>
      </c>
      <c r="E23" s="1262">
        <f>-'Part VII-Pro Forma'!G57/12</f>
        <v>14499.703629904388</v>
      </c>
    </row>
    <row r="24" spans="4:8" ht="21" customHeight="1">
      <c r="D24" s="1261">
        <v>17</v>
      </c>
      <c r="E24" s="1262">
        <f>-'Part VII-Pro Forma'!H57/12</f>
        <v>14499.703629904388</v>
      </c>
      <c r="H24" s="548" t="s">
        <v>240</v>
      </c>
    </row>
    <row r="25" spans="4:8" ht="21" customHeight="1">
      <c r="D25" s="1261">
        <v>18</v>
      </c>
      <c r="E25" s="1262">
        <f>-'Part VII-Pro Forma'!I57/12</f>
        <v>14499.703629904388</v>
      </c>
    </row>
    <row r="26" spans="4:8" ht="21" customHeight="1">
      <c r="D26" s="1261">
        <v>19</v>
      </c>
      <c r="E26" s="1262">
        <f>-'Part VII-Pro Forma'!J57/12</f>
        <v>14499.703629904388</v>
      </c>
    </row>
    <row r="27" spans="4:8" ht="21" customHeight="1">
      <c r="D27" s="1261">
        <v>20</v>
      </c>
      <c r="E27" s="1262">
        <f>-'Part VII-Pro Forma'!K57/12</f>
        <v>14499.703629904388</v>
      </c>
    </row>
    <row r="28" spans="4:8" ht="21" customHeight="1">
      <c r="D28" s="1261">
        <v>21</v>
      </c>
      <c r="E28" s="1262">
        <f>-'Part VII-Pro Forma'!B89/12</f>
        <v>14499.703629904388</v>
      </c>
    </row>
    <row r="29" spans="4:8" ht="21" customHeight="1">
      <c r="D29" s="1261">
        <v>22</v>
      </c>
      <c r="E29" s="1262">
        <f>-'Part VII-Pro Forma'!C89/12</f>
        <v>14499.703629904388</v>
      </c>
    </row>
    <row r="30" spans="4:8" ht="21" customHeight="1">
      <c r="D30" s="1261">
        <v>23</v>
      </c>
      <c r="E30" s="1262">
        <f>-'Part VII-Pro Forma'!D89/12</f>
        <v>14499.703629904388</v>
      </c>
    </row>
    <row r="31" spans="4:8" ht="21" customHeight="1">
      <c r="D31" s="1261">
        <v>24</v>
      </c>
      <c r="E31" s="1262">
        <f>-'Part VII-Pro Forma'!E89/12</f>
        <v>14499.703629904388</v>
      </c>
    </row>
    <row r="32" spans="4:8" ht="21" customHeight="1">
      <c r="D32" s="1261">
        <v>25</v>
      </c>
      <c r="E32" s="1262">
        <f>-'Part VII-Pro Forma'!F89/12</f>
        <v>14499.703629904388</v>
      </c>
    </row>
    <row r="33" spans="5:5" ht="15">
      <c r="E33" s="1262"/>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60" customWidth="1"/>
    <col min="2" max="2" width="10.109375" style="760" customWidth="1"/>
    <col min="3" max="3" width="11.88671875" style="760" customWidth="1"/>
    <col min="4" max="4" width="8.5546875" style="760" customWidth="1"/>
    <col min="5" max="5" width="13.88671875" style="760" customWidth="1"/>
    <col min="6" max="6" width="2.88671875" style="760" customWidth="1"/>
    <col min="7" max="7" width="11.88671875" style="760" customWidth="1"/>
    <col min="8" max="8" width="8.5546875" style="760" customWidth="1"/>
    <col min="9" max="9" width="13.88671875" style="760" customWidth="1"/>
    <col min="10" max="10" width="4.88671875" style="760" customWidth="1"/>
    <col min="11" max="11" width="25.88671875" style="760" customWidth="1"/>
    <col min="12" max="256" width="8.88671875" style="760"/>
    <col min="257" max="257" width="11.5546875" style="760" bestFit="1" customWidth="1"/>
    <col min="258" max="258" width="12.5546875" style="760" customWidth="1"/>
    <col min="259" max="259" width="10.109375" style="760" customWidth="1"/>
    <col min="260" max="260" width="14.88671875" style="760" customWidth="1"/>
    <col min="261" max="261" width="13.109375" style="760" bestFit="1" customWidth="1"/>
    <col min="262" max="262" width="4.88671875" style="760" customWidth="1"/>
    <col min="263" max="263" width="11.88671875" style="760" customWidth="1"/>
    <col min="264" max="264" width="12" style="760" customWidth="1"/>
    <col min="265" max="265" width="9.88671875" style="760" customWidth="1"/>
    <col min="266" max="266" width="13.88671875" style="760" bestFit="1" customWidth="1"/>
    <col min="267" max="512" width="8.88671875" style="760"/>
    <col min="513" max="513" width="11.5546875" style="760" bestFit="1" customWidth="1"/>
    <col min="514" max="514" width="12.5546875" style="760" customWidth="1"/>
    <col min="515" max="515" width="10.109375" style="760" customWidth="1"/>
    <col min="516" max="516" width="14.88671875" style="760" customWidth="1"/>
    <col min="517" max="517" width="13.109375" style="760" bestFit="1" customWidth="1"/>
    <col min="518" max="518" width="4.88671875" style="760" customWidth="1"/>
    <col min="519" max="519" width="11.88671875" style="760" customWidth="1"/>
    <col min="520" max="520" width="12" style="760" customWidth="1"/>
    <col min="521" max="521" width="9.88671875" style="760" customWidth="1"/>
    <col min="522" max="522" width="13.88671875" style="760" bestFit="1" customWidth="1"/>
    <col min="523" max="768" width="8.88671875" style="760"/>
    <col min="769" max="769" width="11.5546875" style="760" bestFit="1" customWidth="1"/>
    <col min="770" max="770" width="12.5546875" style="760" customWidth="1"/>
    <col min="771" max="771" width="10.109375" style="760" customWidth="1"/>
    <col min="772" max="772" width="14.88671875" style="760" customWidth="1"/>
    <col min="773" max="773" width="13.109375" style="760" bestFit="1" customWidth="1"/>
    <col min="774" max="774" width="4.88671875" style="760" customWidth="1"/>
    <col min="775" max="775" width="11.88671875" style="760" customWidth="1"/>
    <col min="776" max="776" width="12" style="760" customWidth="1"/>
    <col min="777" max="777" width="9.88671875" style="760" customWidth="1"/>
    <col min="778" max="778" width="13.88671875" style="760" bestFit="1" customWidth="1"/>
    <col min="779" max="1024" width="8.88671875" style="760"/>
    <col min="1025" max="1025" width="11.5546875" style="760" bestFit="1" customWidth="1"/>
    <col min="1026" max="1026" width="12.5546875" style="760" customWidth="1"/>
    <col min="1027" max="1027" width="10.109375" style="760" customWidth="1"/>
    <col min="1028" max="1028" width="14.88671875" style="760" customWidth="1"/>
    <col min="1029" max="1029" width="13.109375" style="760" bestFit="1" customWidth="1"/>
    <col min="1030" max="1030" width="4.88671875" style="760" customWidth="1"/>
    <col min="1031" max="1031" width="11.88671875" style="760" customWidth="1"/>
    <col min="1032" max="1032" width="12" style="760" customWidth="1"/>
    <col min="1033" max="1033" width="9.88671875" style="760" customWidth="1"/>
    <col min="1034" max="1034" width="13.88671875" style="760" bestFit="1" customWidth="1"/>
    <col min="1035" max="1280" width="8.88671875" style="760"/>
    <col min="1281" max="1281" width="11.5546875" style="760" bestFit="1" customWidth="1"/>
    <col min="1282" max="1282" width="12.5546875" style="760" customWidth="1"/>
    <col min="1283" max="1283" width="10.109375" style="760" customWidth="1"/>
    <col min="1284" max="1284" width="14.88671875" style="760" customWidth="1"/>
    <col min="1285" max="1285" width="13.109375" style="760" bestFit="1" customWidth="1"/>
    <col min="1286" max="1286" width="4.88671875" style="760" customWidth="1"/>
    <col min="1287" max="1287" width="11.88671875" style="760" customWidth="1"/>
    <col min="1288" max="1288" width="12" style="760" customWidth="1"/>
    <col min="1289" max="1289" width="9.88671875" style="760" customWidth="1"/>
    <col min="1290" max="1290" width="13.88671875" style="760" bestFit="1" customWidth="1"/>
    <col min="1291" max="1536" width="8.88671875" style="760"/>
    <col min="1537" max="1537" width="11.5546875" style="760" bestFit="1" customWidth="1"/>
    <col min="1538" max="1538" width="12.5546875" style="760" customWidth="1"/>
    <col min="1539" max="1539" width="10.109375" style="760" customWidth="1"/>
    <col min="1540" max="1540" width="14.88671875" style="760" customWidth="1"/>
    <col min="1541" max="1541" width="13.109375" style="760" bestFit="1" customWidth="1"/>
    <col min="1542" max="1542" width="4.88671875" style="760" customWidth="1"/>
    <col min="1543" max="1543" width="11.88671875" style="760" customWidth="1"/>
    <col min="1544" max="1544" width="12" style="760" customWidth="1"/>
    <col min="1545" max="1545" width="9.88671875" style="760" customWidth="1"/>
    <col min="1546" max="1546" width="13.88671875" style="760" bestFit="1" customWidth="1"/>
    <col min="1547" max="1792" width="8.88671875" style="760"/>
    <col min="1793" max="1793" width="11.5546875" style="760" bestFit="1" customWidth="1"/>
    <col min="1794" max="1794" width="12.5546875" style="760" customWidth="1"/>
    <col min="1795" max="1795" width="10.109375" style="760" customWidth="1"/>
    <col min="1796" max="1796" width="14.88671875" style="760" customWidth="1"/>
    <col min="1797" max="1797" width="13.109375" style="760" bestFit="1" customWidth="1"/>
    <col min="1798" max="1798" width="4.88671875" style="760" customWidth="1"/>
    <col min="1799" max="1799" width="11.88671875" style="760" customWidth="1"/>
    <col min="1800" max="1800" width="12" style="760" customWidth="1"/>
    <col min="1801" max="1801" width="9.88671875" style="760" customWidth="1"/>
    <col min="1802" max="1802" width="13.88671875" style="760" bestFit="1" customWidth="1"/>
    <col min="1803" max="2048" width="8.88671875" style="760"/>
    <col min="2049" max="2049" width="11.5546875" style="760" bestFit="1" customWidth="1"/>
    <col min="2050" max="2050" width="12.5546875" style="760" customWidth="1"/>
    <col min="2051" max="2051" width="10.109375" style="760" customWidth="1"/>
    <col min="2052" max="2052" width="14.88671875" style="760" customWidth="1"/>
    <col min="2053" max="2053" width="13.109375" style="760" bestFit="1" customWidth="1"/>
    <col min="2054" max="2054" width="4.88671875" style="760" customWidth="1"/>
    <col min="2055" max="2055" width="11.88671875" style="760" customWidth="1"/>
    <col min="2056" max="2056" width="12" style="760" customWidth="1"/>
    <col min="2057" max="2057" width="9.88671875" style="760" customWidth="1"/>
    <col min="2058" max="2058" width="13.88671875" style="760" bestFit="1" customWidth="1"/>
    <col min="2059" max="2304" width="8.88671875" style="760"/>
    <col min="2305" max="2305" width="11.5546875" style="760" bestFit="1" customWidth="1"/>
    <col min="2306" max="2306" width="12.5546875" style="760" customWidth="1"/>
    <col min="2307" max="2307" width="10.109375" style="760" customWidth="1"/>
    <col min="2308" max="2308" width="14.88671875" style="760" customWidth="1"/>
    <col min="2309" max="2309" width="13.109375" style="760" bestFit="1" customWidth="1"/>
    <col min="2310" max="2310" width="4.88671875" style="760" customWidth="1"/>
    <col min="2311" max="2311" width="11.88671875" style="760" customWidth="1"/>
    <col min="2312" max="2312" width="12" style="760" customWidth="1"/>
    <col min="2313" max="2313" width="9.88671875" style="760" customWidth="1"/>
    <col min="2314" max="2314" width="13.88671875" style="760" bestFit="1" customWidth="1"/>
    <col min="2315" max="2560" width="8.88671875" style="760"/>
    <col min="2561" max="2561" width="11.5546875" style="760" bestFit="1" customWidth="1"/>
    <col min="2562" max="2562" width="12.5546875" style="760" customWidth="1"/>
    <col min="2563" max="2563" width="10.109375" style="760" customWidth="1"/>
    <col min="2564" max="2564" width="14.88671875" style="760" customWidth="1"/>
    <col min="2565" max="2565" width="13.109375" style="760" bestFit="1" customWidth="1"/>
    <col min="2566" max="2566" width="4.88671875" style="760" customWidth="1"/>
    <col min="2567" max="2567" width="11.88671875" style="760" customWidth="1"/>
    <col min="2568" max="2568" width="12" style="760" customWidth="1"/>
    <col min="2569" max="2569" width="9.88671875" style="760" customWidth="1"/>
    <col min="2570" max="2570" width="13.88671875" style="760" bestFit="1" customWidth="1"/>
    <col min="2571" max="2816" width="8.88671875" style="760"/>
    <col min="2817" max="2817" width="11.5546875" style="760" bestFit="1" customWidth="1"/>
    <col min="2818" max="2818" width="12.5546875" style="760" customWidth="1"/>
    <col min="2819" max="2819" width="10.109375" style="760" customWidth="1"/>
    <col min="2820" max="2820" width="14.88671875" style="760" customWidth="1"/>
    <col min="2821" max="2821" width="13.109375" style="760" bestFit="1" customWidth="1"/>
    <col min="2822" max="2822" width="4.88671875" style="760" customWidth="1"/>
    <col min="2823" max="2823" width="11.88671875" style="760" customWidth="1"/>
    <col min="2824" max="2824" width="12" style="760" customWidth="1"/>
    <col min="2825" max="2825" width="9.88671875" style="760" customWidth="1"/>
    <col min="2826" max="2826" width="13.88671875" style="760" bestFit="1" customWidth="1"/>
    <col min="2827" max="3072" width="8.88671875" style="760"/>
    <col min="3073" max="3073" width="11.5546875" style="760" bestFit="1" customWidth="1"/>
    <col min="3074" max="3074" width="12.5546875" style="760" customWidth="1"/>
    <col min="3075" max="3075" width="10.109375" style="760" customWidth="1"/>
    <col min="3076" max="3076" width="14.88671875" style="760" customWidth="1"/>
    <col min="3077" max="3077" width="13.109375" style="760" bestFit="1" customWidth="1"/>
    <col min="3078" max="3078" width="4.88671875" style="760" customWidth="1"/>
    <col min="3079" max="3079" width="11.88671875" style="760" customWidth="1"/>
    <col min="3080" max="3080" width="12" style="760" customWidth="1"/>
    <col min="3081" max="3081" width="9.88671875" style="760" customWidth="1"/>
    <col min="3082" max="3082" width="13.88671875" style="760" bestFit="1" customWidth="1"/>
    <col min="3083" max="3328" width="8.88671875" style="760"/>
    <col min="3329" max="3329" width="11.5546875" style="760" bestFit="1" customWidth="1"/>
    <col min="3330" max="3330" width="12.5546875" style="760" customWidth="1"/>
    <col min="3331" max="3331" width="10.109375" style="760" customWidth="1"/>
    <col min="3332" max="3332" width="14.88671875" style="760" customWidth="1"/>
    <col min="3333" max="3333" width="13.109375" style="760" bestFit="1" customWidth="1"/>
    <col min="3334" max="3334" width="4.88671875" style="760" customWidth="1"/>
    <col min="3335" max="3335" width="11.88671875" style="760" customWidth="1"/>
    <col min="3336" max="3336" width="12" style="760" customWidth="1"/>
    <col min="3337" max="3337" width="9.88671875" style="760" customWidth="1"/>
    <col min="3338" max="3338" width="13.88671875" style="760" bestFit="1" customWidth="1"/>
    <col min="3339" max="3584" width="8.88671875" style="760"/>
    <col min="3585" max="3585" width="11.5546875" style="760" bestFit="1" customWidth="1"/>
    <col min="3586" max="3586" width="12.5546875" style="760" customWidth="1"/>
    <col min="3587" max="3587" width="10.109375" style="760" customWidth="1"/>
    <col min="3588" max="3588" width="14.88671875" style="760" customWidth="1"/>
    <col min="3589" max="3589" width="13.109375" style="760" bestFit="1" customWidth="1"/>
    <col min="3590" max="3590" width="4.88671875" style="760" customWidth="1"/>
    <col min="3591" max="3591" width="11.88671875" style="760" customWidth="1"/>
    <col min="3592" max="3592" width="12" style="760" customWidth="1"/>
    <col min="3593" max="3593" width="9.88671875" style="760" customWidth="1"/>
    <col min="3594" max="3594" width="13.88671875" style="760" bestFit="1" customWidth="1"/>
    <col min="3595" max="3840" width="8.88671875" style="760"/>
    <col min="3841" max="3841" width="11.5546875" style="760" bestFit="1" customWidth="1"/>
    <col min="3842" max="3842" width="12.5546875" style="760" customWidth="1"/>
    <col min="3843" max="3843" width="10.109375" style="760" customWidth="1"/>
    <col min="3844" max="3844" width="14.88671875" style="760" customWidth="1"/>
    <col min="3845" max="3845" width="13.109375" style="760" bestFit="1" customWidth="1"/>
    <col min="3846" max="3846" width="4.88671875" style="760" customWidth="1"/>
    <col min="3847" max="3847" width="11.88671875" style="760" customWidth="1"/>
    <col min="3848" max="3848" width="12" style="760" customWidth="1"/>
    <col min="3849" max="3849" width="9.88671875" style="760" customWidth="1"/>
    <col min="3850" max="3850" width="13.88671875" style="760" bestFit="1" customWidth="1"/>
    <col min="3851" max="4096" width="8.88671875" style="760"/>
    <col min="4097" max="4097" width="11.5546875" style="760" bestFit="1" customWidth="1"/>
    <col min="4098" max="4098" width="12.5546875" style="760" customWidth="1"/>
    <col min="4099" max="4099" width="10.109375" style="760" customWidth="1"/>
    <col min="4100" max="4100" width="14.88671875" style="760" customWidth="1"/>
    <col min="4101" max="4101" width="13.109375" style="760" bestFit="1" customWidth="1"/>
    <col min="4102" max="4102" width="4.88671875" style="760" customWidth="1"/>
    <col min="4103" max="4103" width="11.88671875" style="760" customWidth="1"/>
    <col min="4104" max="4104" width="12" style="760" customWidth="1"/>
    <col min="4105" max="4105" width="9.88671875" style="760" customWidth="1"/>
    <col min="4106" max="4106" width="13.88671875" style="760" bestFit="1" customWidth="1"/>
    <col min="4107" max="4352" width="8.88671875" style="760"/>
    <col min="4353" max="4353" width="11.5546875" style="760" bestFit="1" customWidth="1"/>
    <col min="4354" max="4354" width="12.5546875" style="760" customWidth="1"/>
    <col min="4355" max="4355" width="10.109375" style="760" customWidth="1"/>
    <col min="4356" max="4356" width="14.88671875" style="760" customWidth="1"/>
    <col min="4357" max="4357" width="13.109375" style="760" bestFit="1" customWidth="1"/>
    <col min="4358" max="4358" width="4.88671875" style="760" customWidth="1"/>
    <col min="4359" max="4359" width="11.88671875" style="760" customWidth="1"/>
    <col min="4360" max="4360" width="12" style="760" customWidth="1"/>
    <col min="4361" max="4361" width="9.88671875" style="760" customWidth="1"/>
    <col min="4362" max="4362" width="13.88671875" style="760" bestFit="1" customWidth="1"/>
    <col min="4363" max="4608" width="8.88671875" style="760"/>
    <col min="4609" max="4609" width="11.5546875" style="760" bestFit="1" customWidth="1"/>
    <col min="4610" max="4610" width="12.5546875" style="760" customWidth="1"/>
    <col min="4611" max="4611" width="10.109375" style="760" customWidth="1"/>
    <col min="4612" max="4612" width="14.88671875" style="760" customWidth="1"/>
    <col min="4613" max="4613" width="13.109375" style="760" bestFit="1" customWidth="1"/>
    <col min="4614" max="4614" width="4.88671875" style="760" customWidth="1"/>
    <col min="4615" max="4615" width="11.88671875" style="760" customWidth="1"/>
    <col min="4616" max="4616" width="12" style="760" customWidth="1"/>
    <col min="4617" max="4617" width="9.88671875" style="760" customWidth="1"/>
    <col min="4618" max="4618" width="13.88671875" style="760" bestFit="1" customWidth="1"/>
    <col min="4619" max="4864" width="8.88671875" style="760"/>
    <col min="4865" max="4865" width="11.5546875" style="760" bestFit="1" customWidth="1"/>
    <col min="4866" max="4866" width="12.5546875" style="760" customWidth="1"/>
    <col min="4867" max="4867" width="10.109375" style="760" customWidth="1"/>
    <col min="4868" max="4868" width="14.88671875" style="760" customWidth="1"/>
    <col min="4869" max="4869" width="13.109375" style="760" bestFit="1" customWidth="1"/>
    <col min="4870" max="4870" width="4.88671875" style="760" customWidth="1"/>
    <col min="4871" max="4871" width="11.88671875" style="760" customWidth="1"/>
    <col min="4872" max="4872" width="12" style="760" customWidth="1"/>
    <col min="4873" max="4873" width="9.88671875" style="760" customWidth="1"/>
    <col min="4874" max="4874" width="13.88671875" style="760" bestFit="1" customWidth="1"/>
    <col min="4875" max="5120" width="8.88671875" style="760"/>
    <col min="5121" max="5121" width="11.5546875" style="760" bestFit="1" customWidth="1"/>
    <col min="5122" max="5122" width="12.5546875" style="760" customWidth="1"/>
    <col min="5123" max="5123" width="10.109375" style="760" customWidth="1"/>
    <col min="5124" max="5124" width="14.88671875" style="760" customWidth="1"/>
    <col min="5125" max="5125" width="13.109375" style="760" bestFit="1" customWidth="1"/>
    <col min="5126" max="5126" width="4.88671875" style="760" customWidth="1"/>
    <col min="5127" max="5127" width="11.88671875" style="760" customWidth="1"/>
    <col min="5128" max="5128" width="12" style="760" customWidth="1"/>
    <col min="5129" max="5129" width="9.88671875" style="760" customWidth="1"/>
    <col min="5130" max="5130" width="13.88671875" style="760" bestFit="1" customWidth="1"/>
    <col min="5131" max="5376" width="8.88671875" style="760"/>
    <col min="5377" max="5377" width="11.5546875" style="760" bestFit="1" customWidth="1"/>
    <col min="5378" max="5378" width="12.5546875" style="760" customWidth="1"/>
    <col min="5379" max="5379" width="10.109375" style="760" customWidth="1"/>
    <col min="5380" max="5380" width="14.88671875" style="760" customWidth="1"/>
    <col min="5381" max="5381" width="13.109375" style="760" bestFit="1" customWidth="1"/>
    <col min="5382" max="5382" width="4.88671875" style="760" customWidth="1"/>
    <col min="5383" max="5383" width="11.88671875" style="760" customWidth="1"/>
    <col min="5384" max="5384" width="12" style="760" customWidth="1"/>
    <col min="5385" max="5385" width="9.88671875" style="760" customWidth="1"/>
    <col min="5386" max="5386" width="13.88671875" style="760" bestFit="1" customWidth="1"/>
    <col min="5387" max="5632" width="8.88671875" style="760"/>
    <col min="5633" max="5633" width="11.5546875" style="760" bestFit="1" customWidth="1"/>
    <col min="5634" max="5634" width="12.5546875" style="760" customWidth="1"/>
    <col min="5635" max="5635" width="10.109375" style="760" customWidth="1"/>
    <col min="5636" max="5636" width="14.88671875" style="760" customWidth="1"/>
    <col min="5637" max="5637" width="13.109375" style="760" bestFit="1" customWidth="1"/>
    <col min="5638" max="5638" width="4.88671875" style="760" customWidth="1"/>
    <col min="5639" max="5639" width="11.88671875" style="760" customWidth="1"/>
    <col min="5640" max="5640" width="12" style="760" customWidth="1"/>
    <col min="5641" max="5641" width="9.88671875" style="760" customWidth="1"/>
    <col min="5642" max="5642" width="13.88671875" style="760" bestFit="1" customWidth="1"/>
    <col min="5643" max="5888" width="8.88671875" style="760"/>
    <col min="5889" max="5889" width="11.5546875" style="760" bestFit="1" customWidth="1"/>
    <col min="5890" max="5890" width="12.5546875" style="760" customWidth="1"/>
    <col min="5891" max="5891" width="10.109375" style="760" customWidth="1"/>
    <col min="5892" max="5892" width="14.88671875" style="760" customWidth="1"/>
    <col min="5893" max="5893" width="13.109375" style="760" bestFit="1" customWidth="1"/>
    <col min="5894" max="5894" width="4.88671875" style="760" customWidth="1"/>
    <col min="5895" max="5895" width="11.88671875" style="760" customWidth="1"/>
    <col min="5896" max="5896" width="12" style="760" customWidth="1"/>
    <col min="5897" max="5897" width="9.88671875" style="760" customWidth="1"/>
    <col min="5898" max="5898" width="13.88671875" style="760" bestFit="1" customWidth="1"/>
    <col min="5899" max="6144" width="8.88671875" style="760"/>
    <col min="6145" max="6145" width="11.5546875" style="760" bestFit="1" customWidth="1"/>
    <col min="6146" max="6146" width="12.5546875" style="760" customWidth="1"/>
    <col min="6147" max="6147" width="10.109375" style="760" customWidth="1"/>
    <col min="6148" max="6148" width="14.88671875" style="760" customWidth="1"/>
    <col min="6149" max="6149" width="13.109375" style="760" bestFit="1" customWidth="1"/>
    <col min="6150" max="6150" width="4.88671875" style="760" customWidth="1"/>
    <col min="6151" max="6151" width="11.88671875" style="760" customWidth="1"/>
    <col min="6152" max="6152" width="12" style="760" customWidth="1"/>
    <col min="6153" max="6153" width="9.88671875" style="760" customWidth="1"/>
    <col min="6154" max="6154" width="13.88671875" style="760" bestFit="1" customWidth="1"/>
    <col min="6155" max="6400" width="8.88671875" style="760"/>
    <col min="6401" max="6401" width="11.5546875" style="760" bestFit="1" customWidth="1"/>
    <col min="6402" max="6402" width="12.5546875" style="760" customWidth="1"/>
    <col min="6403" max="6403" width="10.109375" style="760" customWidth="1"/>
    <col min="6404" max="6404" width="14.88671875" style="760" customWidth="1"/>
    <col min="6405" max="6405" width="13.109375" style="760" bestFit="1" customWidth="1"/>
    <col min="6406" max="6406" width="4.88671875" style="760" customWidth="1"/>
    <col min="6407" max="6407" width="11.88671875" style="760" customWidth="1"/>
    <col min="6408" max="6408" width="12" style="760" customWidth="1"/>
    <col min="6409" max="6409" width="9.88671875" style="760" customWidth="1"/>
    <col min="6410" max="6410" width="13.88671875" style="760" bestFit="1" customWidth="1"/>
    <col min="6411" max="6656" width="8.88671875" style="760"/>
    <col min="6657" max="6657" width="11.5546875" style="760" bestFit="1" customWidth="1"/>
    <col min="6658" max="6658" width="12.5546875" style="760" customWidth="1"/>
    <col min="6659" max="6659" width="10.109375" style="760" customWidth="1"/>
    <col min="6660" max="6660" width="14.88671875" style="760" customWidth="1"/>
    <col min="6661" max="6661" width="13.109375" style="760" bestFit="1" customWidth="1"/>
    <col min="6662" max="6662" width="4.88671875" style="760" customWidth="1"/>
    <col min="6663" max="6663" width="11.88671875" style="760" customWidth="1"/>
    <col min="6664" max="6664" width="12" style="760" customWidth="1"/>
    <col min="6665" max="6665" width="9.88671875" style="760" customWidth="1"/>
    <col min="6666" max="6666" width="13.88671875" style="760" bestFit="1" customWidth="1"/>
    <col min="6667" max="6912" width="8.88671875" style="760"/>
    <col min="6913" max="6913" width="11.5546875" style="760" bestFit="1" customWidth="1"/>
    <col min="6914" max="6914" width="12.5546875" style="760" customWidth="1"/>
    <col min="6915" max="6915" width="10.109375" style="760" customWidth="1"/>
    <col min="6916" max="6916" width="14.88671875" style="760" customWidth="1"/>
    <col min="6917" max="6917" width="13.109375" style="760" bestFit="1" customWidth="1"/>
    <col min="6918" max="6918" width="4.88671875" style="760" customWidth="1"/>
    <col min="6919" max="6919" width="11.88671875" style="760" customWidth="1"/>
    <col min="6920" max="6920" width="12" style="760" customWidth="1"/>
    <col min="6921" max="6921" width="9.88671875" style="760" customWidth="1"/>
    <col min="6922" max="6922" width="13.88671875" style="760" bestFit="1" customWidth="1"/>
    <col min="6923" max="7168" width="8.88671875" style="760"/>
    <col min="7169" max="7169" width="11.5546875" style="760" bestFit="1" customWidth="1"/>
    <col min="7170" max="7170" width="12.5546875" style="760" customWidth="1"/>
    <col min="7171" max="7171" width="10.109375" style="760" customWidth="1"/>
    <col min="7172" max="7172" width="14.88671875" style="760" customWidth="1"/>
    <col min="7173" max="7173" width="13.109375" style="760" bestFit="1" customWidth="1"/>
    <col min="7174" max="7174" width="4.88671875" style="760" customWidth="1"/>
    <col min="7175" max="7175" width="11.88671875" style="760" customWidth="1"/>
    <col min="7176" max="7176" width="12" style="760" customWidth="1"/>
    <col min="7177" max="7177" width="9.88671875" style="760" customWidth="1"/>
    <col min="7178" max="7178" width="13.88671875" style="760" bestFit="1" customWidth="1"/>
    <col min="7179" max="7424" width="8.88671875" style="760"/>
    <col min="7425" max="7425" width="11.5546875" style="760" bestFit="1" customWidth="1"/>
    <col min="7426" max="7426" width="12.5546875" style="760" customWidth="1"/>
    <col min="7427" max="7427" width="10.109375" style="760" customWidth="1"/>
    <col min="7428" max="7428" width="14.88671875" style="760" customWidth="1"/>
    <col min="7429" max="7429" width="13.109375" style="760" bestFit="1" customWidth="1"/>
    <col min="7430" max="7430" width="4.88671875" style="760" customWidth="1"/>
    <col min="7431" max="7431" width="11.88671875" style="760" customWidth="1"/>
    <col min="7432" max="7432" width="12" style="760" customWidth="1"/>
    <col min="7433" max="7433" width="9.88671875" style="760" customWidth="1"/>
    <col min="7434" max="7434" width="13.88671875" style="760" bestFit="1" customWidth="1"/>
    <col min="7435" max="7680" width="8.88671875" style="760"/>
    <col min="7681" max="7681" width="11.5546875" style="760" bestFit="1" customWidth="1"/>
    <col min="7682" max="7682" width="12.5546875" style="760" customWidth="1"/>
    <col min="7683" max="7683" width="10.109375" style="760" customWidth="1"/>
    <col min="7684" max="7684" width="14.88671875" style="760" customWidth="1"/>
    <col min="7685" max="7685" width="13.109375" style="760" bestFit="1" customWidth="1"/>
    <col min="7686" max="7686" width="4.88671875" style="760" customWidth="1"/>
    <col min="7687" max="7687" width="11.88671875" style="760" customWidth="1"/>
    <col min="7688" max="7688" width="12" style="760" customWidth="1"/>
    <col min="7689" max="7689" width="9.88671875" style="760" customWidth="1"/>
    <col min="7690" max="7690" width="13.88671875" style="760" bestFit="1" customWidth="1"/>
    <col min="7691" max="7936" width="8.88671875" style="760"/>
    <col min="7937" max="7937" width="11.5546875" style="760" bestFit="1" customWidth="1"/>
    <col min="7938" max="7938" width="12.5546875" style="760" customWidth="1"/>
    <col min="7939" max="7939" width="10.109375" style="760" customWidth="1"/>
    <col min="7940" max="7940" width="14.88671875" style="760" customWidth="1"/>
    <col min="7941" max="7941" width="13.109375" style="760" bestFit="1" customWidth="1"/>
    <col min="7942" max="7942" width="4.88671875" style="760" customWidth="1"/>
    <col min="7943" max="7943" width="11.88671875" style="760" customWidth="1"/>
    <col min="7944" max="7944" width="12" style="760" customWidth="1"/>
    <col min="7945" max="7945" width="9.88671875" style="760" customWidth="1"/>
    <col min="7946" max="7946" width="13.88671875" style="760" bestFit="1" customWidth="1"/>
    <col min="7947" max="8192" width="8.88671875" style="760"/>
    <col min="8193" max="8193" width="11.5546875" style="760" bestFit="1" customWidth="1"/>
    <col min="8194" max="8194" width="12.5546875" style="760" customWidth="1"/>
    <col min="8195" max="8195" width="10.109375" style="760" customWidth="1"/>
    <col min="8196" max="8196" width="14.88671875" style="760" customWidth="1"/>
    <col min="8197" max="8197" width="13.109375" style="760" bestFit="1" customWidth="1"/>
    <col min="8198" max="8198" width="4.88671875" style="760" customWidth="1"/>
    <col min="8199" max="8199" width="11.88671875" style="760" customWidth="1"/>
    <col min="8200" max="8200" width="12" style="760" customWidth="1"/>
    <col min="8201" max="8201" width="9.88671875" style="760" customWidth="1"/>
    <col min="8202" max="8202" width="13.88671875" style="760" bestFit="1" customWidth="1"/>
    <col min="8203" max="8448" width="8.88671875" style="760"/>
    <col min="8449" max="8449" width="11.5546875" style="760" bestFit="1" customWidth="1"/>
    <col min="8450" max="8450" width="12.5546875" style="760" customWidth="1"/>
    <col min="8451" max="8451" width="10.109375" style="760" customWidth="1"/>
    <col min="8452" max="8452" width="14.88671875" style="760" customWidth="1"/>
    <col min="8453" max="8453" width="13.109375" style="760" bestFit="1" customWidth="1"/>
    <col min="8454" max="8454" width="4.88671875" style="760" customWidth="1"/>
    <col min="8455" max="8455" width="11.88671875" style="760" customWidth="1"/>
    <col min="8456" max="8456" width="12" style="760" customWidth="1"/>
    <col min="8457" max="8457" width="9.88671875" style="760" customWidth="1"/>
    <col min="8458" max="8458" width="13.88671875" style="760" bestFit="1" customWidth="1"/>
    <col min="8459" max="8704" width="8.88671875" style="760"/>
    <col min="8705" max="8705" width="11.5546875" style="760" bestFit="1" customWidth="1"/>
    <col min="8706" max="8706" width="12.5546875" style="760" customWidth="1"/>
    <col min="8707" max="8707" width="10.109375" style="760" customWidth="1"/>
    <col min="8708" max="8708" width="14.88671875" style="760" customWidth="1"/>
    <col min="8709" max="8709" width="13.109375" style="760" bestFit="1" customWidth="1"/>
    <col min="8710" max="8710" width="4.88671875" style="760" customWidth="1"/>
    <col min="8711" max="8711" width="11.88671875" style="760" customWidth="1"/>
    <col min="8712" max="8712" width="12" style="760" customWidth="1"/>
    <col min="8713" max="8713" width="9.88671875" style="760" customWidth="1"/>
    <col min="8714" max="8714" width="13.88671875" style="760" bestFit="1" customWidth="1"/>
    <col min="8715" max="8960" width="8.88671875" style="760"/>
    <col min="8961" max="8961" width="11.5546875" style="760" bestFit="1" customWidth="1"/>
    <col min="8962" max="8962" width="12.5546875" style="760" customWidth="1"/>
    <col min="8963" max="8963" width="10.109375" style="760" customWidth="1"/>
    <col min="8964" max="8964" width="14.88671875" style="760" customWidth="1"/>
    <col min="8965" max="8965" width="13.109375" style="760" bestFit="1" customWidth="1"/>
    <col min="8966" max="8966" width="4.88671875" style="760" customWidth="1"/>
    <col min="8967" max="8967" width="11.88671875" style="760" customWidth="1"/>
    <col min="8968" max="8968" width="12" style="760" customWidth="1"/>
    <col min="8969" max="8969" width="9.88671875" style="760" customWidth="1"/>
    <col min="8970" max="8970" width="13.88671875" style="760" bestFit="1" customWidth="1"/>
    <col min="8971" max="9216" width="8.88671875" style="760"/>
    <col min="9217" max="9217" width="11.5546875" style="760" bestFit="1" customWidth="1"/>
    <col min="9218" max="9218" width="12.5546875" style="760" customWidth="1"/>
    <col min="9219" max="9219" width="10.109375" style="760" customWidth="1"/>
    <col min="9220" max="9220" width="14.88671875" style="760" customWidth="1"/>
    <col min="9221" max="9221" width="13.109375" style="760" bestFit="1" customWidth="1"/>
    <col min="9222" max="9222" width="4.88671875" style="760" customWidth="1"/>
    <col min="9223" max="9223" width="11.88671875" style="760" customWidth="1"/>
    <col min="9224" max="9224" width="12" style="760" customWidth="1"/>
    <col min="9225" max="9225" width="9.88671875" style="760" customWidth="1"/>
    <col min="9226" max="9226" width="13.88671875" style="760" bestFit="1" customWidth="1"/>
    <col min="9227" max="9472" width="8.88671875" style="760"/>
    <col min="9473" max="9473" width="11.5546875" style="760" bestFit="1" customWidth="1"/>
    <col min="9474" max="9474" width="12.5546875" style="760" customWidth="1"/>
    <col min="9475" max="9475" width="10.109375" style="760" customWidth="1"/>
    <col min="9476" max="9476" width="14.88671875" style="760" customWidth="1"/>
    <col min="9477" max="9477" width="13.109375" style="760" bestFit="1" customWidth="1"/>
    <col min="9478" max="9478" width="4.88671875" style="760" customWidth="1"/>
    <col min="9479" max="9479" width="11.88671875" style="760" customWidth="1"/>
    <col min="9480" max="9480" width="12" style="760" customWidth="1"/>
    <col min="9481" max="9481" width="9.88671875" style="760" customWidth="1"/>
    <col min="9482" max="9482" width="13.88671875" style="760" bestFit="1" customWidth="1"/>
    <col min="9483" max="9728" width="8.88671875" style="760"/>
    <col min="9729" max="9729" width="11.5546875" style="760" bestFit="1" customWidth="1"/>
    <col min="9730" max="9730" width="12.5546875" style="760" customWidth="1"/>
    <col min="9731" max="9731" width="10.109375" style="760" customWidth="1"/>
    <col min="9732" max="9732" width="14.88671875" style="760" customWidth="1"/>
    <col min="9733" max="9733" width="13.109375" style="760" bestFit="1" customWidth="1"/>
    <col min="9734" max="9734" width="4.88671875" style="760" customWidth="1"/>
    <col min="9735" max="9735" width="11.88671875" style="760" customWidth="1"/>
    <col min="9736" max="9736" width="12" style="760" customWidth="1"/>
    <col min="9737" max="9737" width="9.88671875" style="760" customWidth="1"/>
    <col min="9738" max="9738" width="13.88671875" style="760" bestFit="1" customWidth="1"/>
    <col min="9739" max="9984" width="8.88671875" style="760"/>
    <col min="9985" max="9985" width="11.5546875" style="760" bestFit="1" customWidth="1"/>
    <col min="9986" max="9986" width="12.5546875" style="760" customWidth="1"/>
    <col min="9987" max="9987" width="10.109375" style="760" customWidth="1"/>
    <col min="9988" max="9988" width="14.88671875" style="760" customWidth="1"/>
    <col min="9989" max="9989" width="13.109375" style="760" bestFit="1" customWidth="1"/>
    <col min="9990" max="9990" width="4.88671875" style="760" customWidth="1"/>
    <col min="9991" max="9991" width="11.88671875" style="760" customWidth="1"/>
    <col min="9992" max="9992" width="12" style="760" customWidth="1"/>
    <col min="9993" max="9993" width="9.88671875" style="760" customWidth="1"/>
    <col min="9994" max="9994" width="13.88671875" style="760" bestFit="1" customWidth="1"/>
    <col min="9995" max="10240" width="8.88671875" style="760"/>
    <col min="10241" max="10241" width="11.5546875" style="760" bestFit="1" customWidth="1"/>
    <col min="10242" max="10242" width="12.5546875" style="760" customWidth="1"/>
    <col min="10243" max="10243" width="10.109375" style="760" customWidth="1"/>
    <col min="10244" max="10244" width="14.88671875" style="760" customWidth="1"/>
    <col min="10245" max="10245" width="13.109375" style="760" bestFit="1" customWidth="1"/>
    <col min="10246" max="10246" width="4.88671875" style="760" customWidth="1"/>
    <col min="10247" max="10247" width="11.88671875" style="760" customWidth="1"/>
    <col min="10248" max="10248" width="12" style="760" customWidth="1"/>
    <col min="10249" max="10249" width="9.88671875" style="760" customWidth="1"/>
    <col min="10250" max="10250" width="13.88671875" style="760" bestFit="1" customWidth="1"/>
    <col min="10251" max="10496" width="8.88671875" style="760"/>
    <col min="10497" max="10497" width="11.5546875" style="760" bestFit="1" customWidth="1"/>
    <col min="10498" max="10498" width="12.5546875" style="760" customWidth="1"/>
    <col min="10499" max="10499" width="10.109375" style="760" customWidth="1"/>
    <col min="10500" max="10500" width="14.88671875" style="760" customWidth="1"/>
    <col min="10501" max="10501" width="13.109375" style="760" bestFit="1" customWidth="1"/>
    <col min="10502" max="10502" width="4.88671875" style="760" customWidth="1"/>
    <col min="10503" max="10503" width="11.88671875" style="760" customWidth="1"/>
    <col min="10504" max="10504" width="12" style="760" customWidth="1"/>
    <col min="10505" max="10505" width="9.88671875" style="760" customWidth="1"/>
    <col min="10506" max="10506" width="13.88671875" style="760" bestFit="1" customWidth="1"/>
    <col min="10507" max="10752" width="8.88671875" style="760"/>
    <col min="10753" max="10753" width="11.5546875" style="760" bestFit="1" customWidth="1"/>
    <col min="10754" max="10754" width="12.5546875" style="760" customWidth="1"/>
    <col min="10755" max="10755" width="10.109375" style="760" customWidth="1"/>
    <col min="10756" max="10756" width="14.88671875" style="760" customWidth="1"/>
    <col min="10757" max="10757" width="13.109375" style="760" bestFit="1" customWidth="1"/>
    <col min="10758" max="10758" width="4.88671875" style="760" customWidth="1"/>
    <col min="10759" max="10759" width="11.88671875" style="760" customWidth="1"/>
    <col min="10760" max="10760" width="12" style="760" customWidth="1"/>
    <col min="10761" max="10761" width="9.88671875" style="760" customWidth="1"/>
    <col min="10762" max="10762" width="13.88671875" style="760" bestFit="1" customWidth="1"/>
    <col min="10763" max="11008" width="8.88671875" style="760"/>
    <col min="11009" max="11009" width="11.5546875" style="760" bestFit="1" customWidth="1"/>
    <col min="11010" max="11010" width="12.5546875" style="760" customWidth="1"/>
    <col min="11011" max="11011" width="10.109375" style="760" customWidth="1"/>
    <col min="11012" max="11012" width="14.88671875" style="760" customWidth="1"/>
    <col min="11013" max="11013" width="13.109375" style="760" bestFit="1" customWidth="1"/>
    <col min="11014" max="11014" width="4.88671875" style="760" customWidth="1"/>
    <col min="11015" max="11015" width="11.88671875" style="760" customWidth="1"/>
    <col min="11016" max="11016" width="12" style="760" customWidth="1"/>
    <col min="11017" max="11017" width="9.88671875" style="760" customWidth="1"/>
    <col min="11018" max="11018" width="13.88671875" style="760" bestFit="1" customWidth="1"/>
    <col min="11019" max="11264" width="8.88671875" style="760"/>
    <col min="11265" max="11265" width="11.5546875" style="760" bestFit="1" customWidth="1"/>
    <col min="11266" max="11266" width="12.5546875" style="760" customWidth="1"/>
    <col min="11267" max="11267" width="10.109375" style="760" customWidth="1"/>
    <col min="11268" max="11268" width="14.88671875" style="760" customWidth="1"/>
    <col min="11269" max="11269" width="13.109375" style="760" bestFit="1" customWidth="1"/>
    <col min="11270" max="11270" width="4.88671875" style="760" customWidth="1"/>
    <col min="11271" max="11271" width="11.88671875" style="760" customWidth="1"/>
    <col min="11272" max="11272" width="12" style="760" customWidth="1"/>
    <col min="11273" max="11273" width="9.88671875" style="760" customWidth="1"/>
    <col min="11274" max="11274" width="13.88671875" style="760" bestFit="1" customWidth="1"/>
    <col min="11275" max="11520" width="8.88671875" style="760"/>
    <col min="11521" max="11521" width="11.5546875" style="760" bestFit="1" customWidth="1"/>
    <col min="11522" max="11522" width="12.5546875" style="760" customWidth="1"/>
    <col min="11523" max="11523" width="10.109375" style="760" customWidth="1"/>
    <col min="11524" max="11524" width="14.88671875" style="760" customWidth="1"/>
    <col min="11525" max="11525" width="13.109375" style="760" bestFit="1" customWidth="1"/>
    <col min="11526" max="11526" width="4.88671875" style="760" customWidth="1"/>
    <col min="11527" max="11527" width="11.88671875" style="760" customWidth="1"/>
    <col min="11528" max="11528" width="12" style="760" customWidth="1"/>
    <col min="11529" max="11529" width="9.88671875" style="760" customWidth="1"/>
    <col min="11530" max="11530" width="13.88671875" style="760" bestFit="1" customWidth="1"/>
    <col min="11531" max="11776" width="8.88671875" style="760"/>
    <col min="11777" max="11777" width="11.5546875" style="760" bestFit="1" customWidth="1"/>
    <col min="11778" max="11778" width="12.5546875" style="760" customWidth="1"/>
    <col min="11779" max="11779" width="10.109375" style="760" customWidth="1"/>
    <col min="11780" max="11780" width="14.88671875" style="760" customWidth="1"/>
    <col min="11781" max="11781" width="13.109375" style="760" bestFit="1" customWidth="1"/>
    <col min="11782" max="11782" width="4.88671875" style="760" customWidth="1"/>
    <col min="11783" max="11783" width="11.88671875" style="760" customWidth="1"/>
    <col min="11784" max="11784" width="12" style="760" customWidth="1"/>
    <col min="11785" max="11785" width="9.88671875" style="760" customWidth="1"/>
    <col min="11786" max="11786" width="13.88671875" style="760" bestFit="1" customWidth="1"/>
    <col min="11787" max="12032" width="8.88671875" style="760"/>
    <col min="12033" max="12033" width="11.5546875" style="760" bestFit="1" customWidth="1"/>
    <col min="12034" max="12034" width="12.5546875" style="760" customWidth="1"/>
    <col min="12035" max="12035" width="10.109375" style="760" customWidth="1"/>
    <col min="12036" max="12036" width="14.88671875" style="760" customWidth="1"/>
    <col min="12037" max="12037" width="13.109375" style="760" bestFit="1" customWidth="1"/>
    <col min="12038" max="12038" width="4.88671875" style="760" customWidth="1"/>
    <col min="12039" max="12039" width="11.88671875" style="760" customWidth="1"/>
    <col min="12040" max="12040" width="12" style="760" customWidth="1"/>
    <col min="12041" max="12041" width="9.88671875" style="760" customWidth="1"/>
    <col min="12042" max="12042" width="13.88671875" style="760" bestFit="1" customWidth="1"/>
    <col min="12043" max="12288" width="8.88671875" style="760"/>
    <col min="12289" max="12289" width="11.5546875" style="760" bestFit="1" customWidth="1"/>
    <col min="12290" max="12290" width="12.5546875" style="760" customWidth="1"/>
    <col min="12291" max="12291" width="10.109375" style="760" customWidth="1"/>
    <col min="12292" max="12292" width="14.88671875" style="760" customWidth="1"/>
    <col min="12293" max="12293" width="13.109375" style="760" bestFit="1" customWidth="1"/>
    <col min="12294" max="12294" width="4.88671875" style="760" customWidth="1"/>
    <col min="12295" max="12295" width="11.88671875" style="760" customWidth="1"/>
    <col min="12296" max="12296" width="12" style="760" customWidth="1"/>
    <col min="12297" max="12297" width="9.88671875" style="760" customWidth="1"/>
    <col min="12298" max="12298" width="13.88671875" style="760" bestFit="1" customWidth="1"/>
    <col min="12299" max="12544" width="8.88671875" style="760"/>
    <col min="12545" max="12545" width="11.5546875" style="760" bestFit="1" customWidth="1"/>
    <col min="12546" max="12546" width="12.5546875" style="760" customWidth="1"/>
    <col min="12547" max="12547" width="10.109375" style="760" customWidth="1"/>
    <col min="12548" max="12548" width="14.88671875" style="760" customWidth="1"/>
    <col min="12549" max="12549" width="13.109375" style="760" bestFit="1" customWidth="1"/>
    <col min="12550" max="12550" width="4.88671875" style="760" customWidth="1"/>
    <col min="12551" max="12551" width="11.88671875" style="760" customWidth="1"/>
    <col min="12552" max="12552" width="12" style="760" customWidth="1"/>
    <col min="12553" max="12553" width="9.88671875" style="760" customWidth="1"/>
    <col min="12554" max="12554" width="13.88671875" style="760" bestFit="1" customWidth="1"/>
    <col min="12555" max="12800" width="8.88671875" style="760"/>
    <col min="12801" max="12801" width="11.5546875" style="760" bestFit="1" customWidth="1"/>
    <col min="12802" max="12802" width="12.5546875" style="760" customWidth="1"/>
    <col min="12803" max="12803" width="10.109375" style="760" customWidth="1"/>
    <col min="12804" max="12804" width="14.88671875" style="760" customWidth="1"/>
    <col min="12805" max="12805" width="13.109375" style="760" bestFit="1" customWidth="1"/>
    <col min="12806" max="12806" width="4.88671875" style="760" customWidth="1"/>
    <col min="12807" max="12807" width="11.88671875" style="760" customWidth="1"/>
    <col min="12808" max="12808" width="12" style="760" customWidth="1"/>
    <col min="12809" max="12809" width="9.88671875" style="760" customWidth="1"/>
    <col min="12810" max="12810" width="13.88671875" style="760" bestFit="1" customWidth="1"/>
    <col min="12811" max="13056" width="8.88671875" style="760"/>
    <col min="13057" max="13057" width="11.5546875" style="760" bestFit="1" customWidth="1"/>
    <col min="13058" max="13058" width="12.5546875" style="760" customWidth="1"/>
    <col min="13059" max="13059" width="10.109375" style="760" customWidth="1"/>
    <col min="13060" max="13060" width="14.88671875" style="760" customWidth="1"/>
    <col min="13061" max="13061" width="13.109375" style="760" bestFit="1" customWidth="1"/>
    <col min="13062" max="13062" width="4.88671875" style="760" customWidth="1"/>
    <col min="13063" max="13063" width="11.88671875" style="760" customWidth="1"/>
    <col min="13064" max="13064" width="12" style="760" customWidth="1"/>
    <col min="13065" max="13065" width="9.88671875" style="760" customWidth="1"/>
    <col min="13066" max="13066" width="13.88671875" style="760" bestFit="1" customWidth="1"/>
    <col min="13067" max="13312" width="8.88671875" style="760"/>
    <col min="13313" max="13313" width="11.5546875" style="760" bestFit="1" customWidth="1"/>
    <col min="13314" max="13314" width="12.5546875" style="760" customWidth="1"/>
    <col min="13315" max="13315" width="10.109375" style="760" customWidth="1"/>
    <col min="13316" max="13316" width="14.88671875" style="760" customWidth="1"/>
    <col min="13317" max="13317" width="13.109375" style="760" bestFit="1" customWidth="1"/>
    <col min="13318" max="13318" width="4.88671875" style="760" customWidth="1"/>
    <col min="13319" max="13319" width="11.88671875" style="760" customWidth="1"/>
    <col min="13320" max="13320" width="12" style="760" customWidth="1"/>
    <col min="13321" max="13321" width="9.88671875" style="760" customWidth="1"/>
    <col min="13322" max="13322" width="13.88671875" style="760" bestFit="1" customWidth="1"/>
    <col min="13323" max="13568" width="8.88671875" style="760"/>
    <col min="13569" max="13569" width="11.5546875" style="760" bestFit="1" customWidth="1"/>
    <col min="13570" max="13570" width="12.5546875" style="760" customWidth="1"/>
    <col min="13571" max="13571" width="10.109375" style="760" customWidth="1"/>
    <col min="13572" max="13572" width="14.88671875" style="760" customWidth="1"/>
    <col min="13573" max="13573" width="13.109375" style="760" bestFit="1" customWidth="1"/>
    <col min="13574" max="13574" width="4.88671875" style="760" customWidth="1"/>
    <col min="13575" max="13575" width="11.88671875" style="760" customWidth="1"/>
    <col min="13576" max="13576" width="12" style="760" customWidth="1"/>
    <col min="13577" max="13577" width="9.88671875" style="760" customWidth="1"/>
    <col min="13578" max="13578" width="13.88671875" style="760" bestFit="1" customWidth="1"/>
    <col min="13579" max="13824" width="8.88671875" style="760"/>
    <col min="13825" max="13825" width="11.5546875" style="760" bestFit="1" customWidth="1"/>
    <col min="13826" max="13826" width="12.5546875" style="760" customWidth="1"/>
    <col min="13827" max="13827" width="10.109375" style="760" customWidth="1"/>
    <col min="13828" max="13828" width="14.88671875" style="760" customWidth="1"/>
    <col min="13829" max="13829" width="13.109375" style="760" bestFit="1" customWidth="1"/>
    <col min="13830" max="13830" width="4.88671875" style="760" customWidth="1"/>
    <col min="13831" max="13831" width="11.88671875" style="760" customWidth="1"/>
    <col min="13832" max="13832" width="12" style="760" customWidth="1"/>
    <col min="13833" max="13833" width="9.88671875" style="760" customWidth="1"/>
    <col min="13834" max="13834" width="13.88671875" style="760" bestFit="1" customWidth="1"/>
    <col min="13835" max="14080" width="8.88671875" style="760"/>
    <col min="14081" max="14081" width="11.5546875" style="760" bestFit="1" customWidth="1"/>
    <col min="14082" max="14082" width="12.5546875" style="760" customWidth="1"/>
    <col min="14083" max="14083" width="10.109375" style="760" customWidth="1"/>
    <col min="14084" max="14084" width="14.88671875" style="760" customWidth="1"/>
    <col min="14085" max="14085" width="13.109375" style="760" bestFit="1" customWidth="1"/>
    <col min="14086" max="14086" width="4.88671875" style="760" customWidth="1"/>
    <col min="14087" max="14087" width="11.88671875" style="760" customWidth="1"/>
    <col min="14088" max="14088" width="12" style="760" customWidth="1"/>
    <col min="14089" max="14089" width="9.88671875" style="760" customWidth="1"/>
    <col min="14090" max="14090" width="13.88671875" style="760" bestFit="1" customWidth="1"/>
    <col min="14091" max="14336" width="8.88671875" style="760"/>
    <col min="14337" max="14337" width="11.5546875" style="760" bestFit="1" customWidth="1"/>
    <col min="14338" max="14338" width="12.5546875" style="760" customWidth="1"/>
    <col min="14339" max="14339" width="10.109375" style="760" customWidth="1"/>
    <col min="14340" max="14340" width="14.88671875" style="760" customWidth="1"/>
    <col min="14341" max="14341" width="13.109375" style="760" bestFit="1" customWidth="1"/>
    <col min="14342" max="14342" width="4.88671875" style="760" customWidth="1"/>
    <col min="14343" max="14343" width="11.88671875" style="760" customWidth="1"/>
    <col min="14344" max="14344" width="12" style="760" customWidth="1"/>
    <col min="14345" max="14345" width="9.88671875" style="760" customWidth="1"/>
    <col min="14346" max="14346" width="13.88671875" style="760" bestFit="1" customWidth="1"/>
    <col min="14347" max="14592" width="8.88671875" style="760"/>
    <col min="14593" max="14593" width="11.5546875" style="760" bestFit="1" customWidth="1"/>
    <col min="14594" max="14594" width="12.5546875" style="760" customWidth="1"/>
    <col min="14595" max="14595" width="10.109375" style="760" customWidth="1"/>
    <col min="14596" max="14596" width="14.88671875" style="760" customWidth="1"/>
    <col min="14597" max="14597" width="13.109375" style="760" bestFit="1" customWidth="1"/>
    <col min="14598" max="14598" width="4.88671875" style="760" customWidth="1"/>
    <col min="14599" max="14599" width="11.88671875" style="760" customWidth="1"/>
    <col min="14600" max="14600" width="12" style="760" customWidth="1"/>
    <col min="14601" max="14601" width="9.88671875" style="760" customWidth="1"/>
    <col min="14602" max="14602" width="13.88671875" style="760" bestFit="1" customWidth="1"/>
    <col min="14603" max="14848" width="8.88671875" style="760"/>
    <col min="14849" max="14849" width="11.5546875" style="760" bestFit="1" customWidth="1"/>
    <col min="14850" max="14850" width="12.5546875" style="760" customWidth="1"/>
    <col min="14851" max="14851" width="10.109375" style="760" customWidth="1"/>
    <col min="14852" max="14852" width="14.88671875" style="760" customWidth="1"/>
    <col min="14853" max="14853" width="13.109375" style="760" bestFit="1" customWidth="1"/>
    <col min="14854" max="14854" width="4.88671875" style="760" customWidth="1"/>
    <col min="14855" max="14855" width="11.88671875" style="760" customWidth="1"/>
    <col min="14856" max="14856" width="12" style="760" customWidth="1"/>
    <col min="14857" max="14857" width="9.88671875" style="760" customWidth="1"/>
    <col min="14858" max="14858" width="13.88671875" style="760" bestFit="1" customWidth="1"/>
    <col min="14859" max="15104" width="8.88671875" style="760"/>
    <col min="15105" max="15105" width="11.5546875" style="760" bestFit="1" customWidth="1"/>
    <col min="15106" max="15106" width="12.5546875" style="760" customWidth="1"/>
    <col min="15107" max="15107" width="10.109375" style="760" customWidth="1"/>
    <col min="15108" max="15108" width="14.88671875" style="760" customWidth="1"/>
    <col min="15109" max="15109" width="13.109375" style="760" bestFit="1" customWidth="1"/>
    <col min="15110" max="15110" width="4.88671875" style="760" customWidth="1"/>
    <col min="15111" max="15111" width="11.88671875" style="760" customWidth="1"/>
    <col min="15112" max="15112" width="12" style="760" customWidth="1"/>
    <col min="15113" max="15113" width="9.88671875" style="760" customWidth="1"/>
    <col min="15114" max="15114" width="13.88671875" style="760" bestFit="1" customWidth="1"/>
    <col min="15115" max="15360" width="8.88671875" style="760"/>
    <col min="15361" max="15361" width="11.5546875" style="760" bestFit="1" customWidth="1"/>
    <col min="15362" max="15362" width="12.5546875" style="760" customWidth="1"/>
    <col min="15363" max="15363" width="10.109375" style="760" customWidth="1"/>
    <col min="15364" max="15364" width="14.88671875" style="760" customWidth="1"/>
    <col min="15365" max="15365" width="13.109375" style="760" bestFit="1" customWidth="1"/>
    <col min="15366" max="15366" width="4.88671875" style="760" customWidth="1"/>
    <col min="15367" max="15367" width="11.88671875" style="760" customWidth="1"/>
    <col min="15368" max="15368" width="12" style="760" customWidth="1"/>
    <col min="15369" max="15369" width="9.88671875" style="760" customWidth="1"/>
    <col min="15370" max="15370" width="13.88671875" style="760" bestFit="1" customWidth="1"/>
    <col min="15371" max="15616" width="8.88671875" style="760"/>
    <col min="15617" max="15617" width="11.5546875" style="760" bestFit="1" customWidth="1"/>
    <col min="15618" max="15618" width="12.5546875" style="760" customWidth="1"/>
    <col min="15619" max="15619" width="10.109375" style="760" customWidth="1"/>
    <col min="15620" max="15620" width="14.88671875" style="760" customWidth="1"/>
    <col min="15621" max="15621" width="13.109375" style="760" bestFit="1" customWidth="1"/>
    <col min="15622" max="15622" width="4.88671875" style="760" customWidth="1"/>
    <col min="15623" max="15623" width="11.88671875" style="760" customWidth="1"/>
    <col min="15624" max="15624" width="12" style="760" customWidth="1"/>
    <col min="15625" max="15625" width="9.88671875" style="760" customWidth="1"/>
    <col min="15626" max="15626" width="13.88671875" style="760" bestFit="1" customWidth="1"/>
    <col min="15627" max="15872" width="8.88671875" style="760"/>
    <col min="15873" max="15873" width="11.5546875" style="760" bestFit="1" customWidth="1"/>
    <col min="15874" max="15874" width="12.5546875" style="760" customWidth="1"/>
    <col min="15875" max="15875" width="10.109375" style="760" customWidth="1"/>
    <col min="15876" max="15876" width="14.88671875" style="760" customWidth="1"/>
    <col min="15877" max="15877" width="13.109375" style="760" bestFit="1" customWidth="1"/>
    <col min="15878" max="15878" width="4.88671875" style="760" customWidth="1"/>
    <col min="15879" max="15879" width="11.88671875" style="760" customWidth="1"/>
    <col min="15880" max="15880" width="12" style="760" customWidth="1"/>
    <col min="15881" max="15881" width="9.88671875" style="760" customWidth="1"/>
    <col min="15882" max="15882" width="13.88671875" style="760" bestFit="1" customWidth="1"/>
    <col min="15883" max="16128" width="8.88671875" style="760"/>
    <col min="16129" max="16129" width="11.5546875" style="760" bestFit="1" customWidth="1"/>
    <col min="16130" max="16130" width="12.5546875" style="760" customWidth="1"/>
    <col min="16131" max="16131" width="10.109375" style="760" customWidth="1"/>
    <col min="16132" max="16132" width="14.88671875" style="760" customWidth="1"/>
    <col min="16133" max="16133" width="13.109375" style="760" bestFit="1" customWidth="1"/>
    <col min="16134" max="16134" width="4.88671875" style="760" customWidth="1"/>
    <col min="16135" max="16135" width="11.88671875" style="760" customWidth="1"/>
    <col min="16136" max="16136" width="12" style="760" customWidth="1"/>
    <col min="16137" max="16137" width="9.88671875" style="760" customWidth="1"/>
    <col min="16138" max="16138" width="13.88671875" style="760" bestFit="1" customWidth="1"/>
    <col min="16139" max="16384" width="8.88671875" style="760"/>
  </cols>
  <sheetData>
    <row r="1" spans="1:11" ht="22.8">
      <c r="A1" s="3869" t="s">
        <v>3023</v>
      </c>
      <c r="B1" s="3869"/>
      <c r="C1" s="3869"/>
      <c r="D1" s="3869"/>
      <c r="E1" s="3869"/>
      <c r="F1" s="3869"/>
      <c r="G1" s="3869"/>
      <c r="H1" s="3869"/>
      <c r="I1" s="3869"/>
      <c r="J1" s="3869"/>
      <c r="K1" s="3869"/>
    </row>
    <row r="2" spans="1:11" ht="15.6">
      <c r="A2" s="3883" t="str">
        <f>Overview!C8</f>
        <v>Haven at South Atlanta</v>
      </c>
      <c r="B2" s="3883"/>
      <c r="C2" s="3883"/>
      <c r="D2" s="3883"/>
      <c r="E2" s="3883"/>
      <c r="F2" s="3883"/>
      <c r="G2" s="3883"/>
      <c r="H2" s="3883"/>
      <c r="I2" s="3883"/>
      <c r="J2" s="3883"/>
      <c r="K2" s="3883"/>
    </row>
    <row r="3" spans="1:11" ht="9" customHeight="1">
      <c r="A3" s="761"/>
      <c r="B3" s="761"/>
      <c r="C3" s="761"/>
    </row>
    <row r="4" spans="1:11" ht="17.399999999999999">
      <c r="A4" s="762" t="s">
        <v>3482</v>
      </c>
      <c r="B4" s="761"/>
      <c r="C4" s="761"/>
      <c r="K4" s="763"/>
    </row>
    <row r="5" spans="1:11" s="718" customFormat="1" ht="42" customHeight="1">
      <c r="C5" s="3870" t="s">
        <v>4253</v>
      </c>
      <c r="D5" s="3871"/>
      <c r="E5" s="3872"/>
      <c r="F5" s="562"/>
      <c r="G5" s="3870" t="s">
        <v>4254</v>
      </c>
      <c r="H5" s="3871"/>
      <c r="I5" s="3872"/>
      <c r="J5" s="760"/>
      <c r="K5" s="3881" t="s">
        <v>4255</v>
      </c>
    </row>
    <row r="6" spans="1:11" s="765" customFormat="1" ht="15" customHeight="1">
      <c r="A6" s="764" t="s">
        <v>2675</v>
      </c>
      <c r="C6" s="766" t="s">
        <v>3465</v>
      </c>
      <c r="D6" s="766" t="s">
        <v>4256</v>
      </c>
      <c r="E6" s="766" t="s">
        <v>1964</v>
      </c>
      <c r="G6" s="766" t="s">
        <v>3466</v>
      </c>
      <c r="H6" s="766" t="s">
        <v>4257</v>
      </c>
      <c r="I6" s="766" t="s">
        <v>1964</v>
      </c>
      <c r="K6" s="3882"/>
    </row>
    <row r="7" spans="1:11" s="562" customFormat="1" ht="13.5" customHeight="1">
      <c r="A7" s="562" t="s">
        <v>3024</v>
      </c>
      <c r="C7" s="768"/>
      <c r="D7" s="1264">
        <f>'Part VI-Revenues &amp; Expenses'!$J$63</f>
        <v>0</v>
      </c>
      <c r="E7" s="770">
        <f>C7*D7</f>
        <v>0</v>
      </c>
      <c r="G7" s="768"/>
      <c r="H7" s="769">
        <f>'Part VI-Revenues &amp; Expenses'!$J$67</f>
        <v>0</v>
      </c>
      <c r="I7" s="770">
        <f>G7*H7</f>
        <v>0</v>
      </c>
      <c r="K7" s="1271">
        <f>'Part VIII-Threshold Criteria'!$P$50</f>
        <v>0</v>
      </c>
    </row>
    <row r="8" spans="1:11" s="562" customFormat="1" ht="13.5" customHeight="1">
      <c r="A8" s="562" t="s">
        <v>2673</v>
      </c>
      <c r="C8" s="768"/>
      <c r="D8" s="1264">
        <f>'Part VI-Revenues &amp; Expenses'!$K$63</f>
        <v>28</v>
      </c>
      <c r="E8" s="770">
        <f>C8*D8</f>
        <v>0</v>
      </c>
      <c r="G8" s="768"/>
      <c r="H8" s="769">
        <f>'Part VI-Revenues &amp; Expenses'!$K$67</f>
        <v>32</v>
      </c>
      <c r="I8" s="770">
        <f>G8*H8</f>
        <v>0</v>
      </c>
      <c r="K8" s="767" t="s">
        <v>3467</v>
      </c>
    </row>
    <row r="9" spans="1:11" s="562" customFormat="1" ht="13.5" customHeight="1">
      <c r="A9" s="562" t="s">
        <v>2674</v>
      </c>
      <c r="C9" s="768"/>
      <c r="D9" s="1264">
        <f>'Part VI-Revenues &amp; Expenses'!$L$63</f>
        <v>35</v>
      </c>
      <c r="E9" s="770">
        <f>C9*D9</f>
        <v>0</v>
      </c>
      <c r="G9" s="768"/>
      <c r="H9" s="769">
        <f>'Part VI-Revenues &amp; Expenses'!$L$67</f>
        <v>42</v>
      </c>
      <c r="I9" s="770">
        <f>G9*H9</f>
        <v>0</v>
      </c>
      <c r="K9" s="1271">
        <f>'Part IV-A-Uses of Funds'!$G$132</f>
        <v>15872847</v>
      </c>
    </row>
    <row r="10" spans="1:11" s="562" customFormat="1" ht="13.5" customHeight="1">
      <c r="A10" s="562" t="s">
        <v>2677</v>
      </c>
      <c r="C10" s="768"/>
      <c r="D10" s="1264">
        <f>'Part VI-Revenues &amp; Expenses'!$M$63</f>
        <v>8</v>
      </c>
      <c r="E10" s="770">
        <f>C10*D10</f>
        <v>0</v>
      </c>
      <c r="G10" s="768"/>
      <c r="H10" s="769">
        <f>'Part VI-Revenues &amp; Expenses'!$M$67</f>
        <v>10</v>
      </c>
      <c r="I10" s="770">
        <f>G10*H10</f>
        <v>0</v>
      </c>
      <c r="K10" s="767" t="s">
        <v>3468</v>
      </c>
    </row>
    <row r="11" spans="1:11" s="562" customFormat="1" ht="13.5" customHeight="1">
      <c r="A11" s="772" t="s">
        <v>3464</v>
      </c>
      <c r="C11" s="773"/>
      <c r="D11" s="1265">
        <f>'Part VI-Revenues &amp; Expenses'!$N$63</f>
        <v>0</v>
      </c>
      <c r="E11" s="775">
        <f>C11*D11</f>
        <v>0</v>
      </c>
      <c r="G11" s="773"/>
      <c r="H11" s="774">
        <f>'Part VI-Revenues &amp; Expenses'!$N$67</f>
        <v>0</v>
      </c>
      <c r="I11" s="775">
        <f>G11*H11</f>
        <v>0</v>
      </c>
      <c r="K11" s="3873" t="s">
        <v>3472</v>
      </c>
    </row>
    <row r="12" spans="1:11" ht="13.5" customHeight="1" thickBot="1">
      <c r="A12" s="776" t="s">
        <v>3434</v>
      </c>
      <c r="D12" s="807">
        <f>SUM(D7:D11)</f>
        <v>71</v>
      </c>
      <c r="E12" s="777"/>
      <c r="G12" s="776" t="s">
        <v>1771</v>
      </c>
      <c r="H12" s="1270">
        <f>SUM(H7:H11)</f>
        <v>84</v>
      </c>
      <c r="I12" s="777"/>
      <c r="K12" s="3874"/>
    </row>
    <row r="13" spans="1:11" s="562" customFormat="1" ht="13.5" customHeight="1" thickBot="1">
      <c r="A13" s="776" t="s">
        <v>3025</v>
      </c>
      <c r="B13" s="778"/>
      <c r="E13" s="779">
        <f>SUM(E7:E11)</f>
        <v>0</v>
      </c>
      <c r="G13" s="776" t="s">
        <v>3260</v>
      </c>
      <c r="H13" s="778"/>
      <c r="I13" s="780">
        <f>SUM(I7:I11)</f>
        <v>0</v>
      </c>
      <c r="K13" s="1271">
        <f>'Part VIII-Threshold Criteria'!$P$63</f>
        <v>15879750</v>
      </c>
    </row>
    <row r="14" spans="1:11" ht="11.25" customHeight="1">
      <c r="G14" s="781" t="s">
        <v>3469</v>
      </c>
    </row>
    <row r="15" spans="1:11" s="562" customFormat="1" ht="9" customHeight="1"/>
    <row r="16" spans="1:11" ht="16.5" customHeight="1">
      <c r="A16" s="762" t="s">
        <v>3483</v>
      </c>
    </row>
    <row r="17" spans="1:11" ht="6" customHeight="1"/>
    <row r="18" spans="1:11" s="562" customFormat="1" ht="13.5" customHeight="1">
      <c r="A18" s="562" t="s">
        <v>3471</v>
      </c>
      <c r="E18" s="1272" t="s">
        <v>4043</v>
      </c>
      <c r="F18" s="1273"/>
      <c r="G18" s="1273"/>
      <c r="H18" s="1273"/>
      <c r="I18" s="1273"/>
      <c r="K18" s="1249">
        <f>Overview!$E$13</f>
        <v>71</v>
      </c>
    </row>
    <row r="19" spans="1:11" s="562" customFormat="1" ht="13.5" customHeight="1">
      <c r="A19" s="562" t="s">
        <v>3026</v>
      </c>
      <c r="E19" s="1267"/>
      <c r="K19" s="635">
        <f>Overview!$C$13</f>
        <v>84</v>
      </c>
    </row>
    <row r="20" spans="1:11" ht="3" customHeight="1">
      <c r="A20" s="782"/>
      <c r="E20" s="1268"/>
    </row>
    <row r="21" spans="1:11" s="562" customFormat="1" ht="13.5" customHeight="1">
      <c r="A21" s="562" t="s">
        <v>3027</v>
      </c>
      <c r="E21" s="1266" t="s">
        <v>3470</v>
      </c>
      <c r="K21" s="783">
        <f>K18/K19</f>
        <v>0.84523809523809523</v>
      </c>
    </row>
    <row r="22" spans="1:11" ht="6.75" customHeight="1">
      <c r="E22" s="1268"/>
    </row>
    <row r="23" spans="1:11" s="562" customFormat="1" ht="13.5" customHeight="1">
      <c r="A23" s="562" t="s">
        <v>3433</v>
      </c>
      <c r="C23" s="784"/>
      <c r="E23" s="1266" t="s">
        <v>3030</v>
      </c>
      <c r="K23" s="635">
        <f>K9</f>
        <v>15872847</v>
      </c>
    </row>
    <row r="24" spans="1:11" s="562" customFormat="1" ht="13.5" customHeight="1">
      <c r="A24" s="785" t="s">
        <v>1738</v>
      </c>
      <c r="E24" s="1267"/>
      <c r="K24" s="771">
        <f>'Part IV-A-Uses of Funds'!$G$122</f>
        <v>333359</v>
      </c>
    </row>
    <row r="25" spans="1:11" s="562" customFormat="1" ht="13.5" customHeight="1">
      <c r="A25" s="785" t="s">
        <v>3031</v>
      </c>
      <c r="E25" s="1267"/>
      <c r="K25" s="786">
        <v>0</v>
      </c>
    </row>
    <row r="26" spans="1:11" s="562" customFormat="1" ht="13.5" customHeight="1">
      <c r="A26" s="785" t="s">
        <v>3031</v>
      </c>
      <c r="E26" s="1267"/>
      <c r="K26" s="786">
        <v>0</v>
      </c>
    </row>
    <row r="27" spans="1:11" ht="3" customHeight="1">
      <c r="A27" s="787"/>
      <c r="E27" s="1268"/>
      <c r="K27" s="788">
        <v>0</v>
      </c>
    </row>
    <row r="28" spans="1:11" s="778" customFormat="1" ht="13.5" customHeight="1">
      <c r="A28" s="778" t="s">
        <v>3032</v>
      </c>
      <c r="E28" s="1269"/>
      <c r="K28" s="789">
        <f>K23-SUM(K24:K27)</f>
        <v>15539488</v>
      </c>
    </row>
    <row r="29" spans="1:11" ht="6.75" customHeight="1">
      <c r="A29" s="782"/>
      <c r="E29" s="1268"/>
      <c r="K29" s="790"/>
    </row>
    <row r="30" spans="1:11" s="562" customFormat="1" ht="15" customHeight="1">
      <c r="A30" s="778" t="s">
        <v>3033</v>
      </c>
      <c r="E30" s="1266" t="s">
        <v>3477</v>
      </c>
      <c r="F30" s="791"/>
      <c r="G30" s="791"/>
      <c r="H30" s="791"/>
      <c r="I30" s="791"/>
      <c r="K30" s="792">
        <f>K21*K28</f>
        <v>13134567.238095239</v>
      </c>
    </row>
    <row r="31" spans="1:11" ht="13.5" customHeight="1">
      <c r="E31" s="1268"/>
      <c r="K31" s="790"/>
    </row>
    <row r="32" spans="1:11" s="562" customFormat="1" ht="16.5" customHeight="1">
      <c r="A32" s="793" t="s">
        <v>3484</v>
      </c>
      <c r="B32" s="778"/>
      <c r="C32" s="778"/>
      <c r="D32" s="778"/>
      <c r="E32" s="1266"/>
    </row>
    <row r="33" spans="1:11" ht="6" customHeight="1" thickBot="1">
      <c r="E33" s="1268"/>
    </row>
    <row r="34" spans="1:11" s="562" customFormat="1" ht="18" customHeight="1" thickBot="1">
      <c r="A34" s="794" t="s">
        <v>3480</v>
      </c>
      <c r="B34" s="778"/>
      <c r="C34" s="778"/>
      <c r="D34" s="778"/>
      <c r="E34" s="1266" t="s">
        <v>3478</v>
      </c>
      <c r="K34" s="795">
        <f>MIN(E13,K30)</f>
        <v>0</v>
      </c>
    </row>
    <row r="35" spans="1:11" ht="6" customHeight="1">
      <c r="E35" s="1268"/>
    </row>
    <row r="36" spans="1:11" s="562" customFormat="1" ht="15" customHeight="1">
      <c r="A36" s="778" t="s">
        <v>3481</v>
      </c>
      <c r="E36" s="1266" t="s">
        <v>3479</v>
      </c>
      <c r="K36" s="796">
        <f>Overview!C25</f>
        <v>2400000</v>
      </c>
    </row>
    <row r="37" spans="1:11" s="562" customFormat="1" ht="9" customHeight="1" thickBot="1">
      <c r="E37" s="797"/>
      <c r="F37" s="797"/>
      <c r="G37" s="797"/>
      <c r="H37" s="797"/>
      <c r="K37" s="798"/>
    </row>
    <row r="38" spans="1:11" s="562" customFormat="1" ht="15.75" customHeight="1">
      <c r="A38" s="3875" t="s">
        <v>3475</v>
      </c>
      <c r="B38" s="3875"/>
      <c r="C38" s="3875"/>
      <c r="D38" s="3876" t="s">
        <v>3028</v>
      </c>
      <c r="E38" s="3876"/>
      <c r="F38" s="3876" t="s">
        <v>3029</v>
      </c>
      <c r="G38" s="3876"/>
      <c r="H38" s="3876"/>
      <c r="I38" s="1325" t="s">
        <v>2777</v>
      </c>
      <c r="K38" s="3877">
        <f>ROUND((D39/F39)*I39,0)</f>
        <v>13</v>
      </c>
    </row>
    <row r="39" spans="1:11" s="562" customFormat="1" ht="15.75" customHeight="1" thickBot="1">
      <c r="A39" s="3875"/>
      <c r="B39" s="3875"/>
      <c r="C39" s="3875"/>
      <c r="D39" s="3879">
        <f>K36</f>
        <v>2400000</v>
      </c>
      <c r="E39" s="3879"/>
      <c r="F39" s="3880">
        <f>K28</f>
        <v>15539488</v>
      </c>
      <c r="G39" s="3880"/>
      <c r="H39" s="3880"/>
      <c r="I39" s="799">
        <f>K19</f>
        <v>84</v>
      </c>
      <c r="K39" s="3878"/>
    </row>
    <row r="40" spans="1:11" ht="12.75" customHeight="1">
      <c r="D40" s="800" t="s">
        <v>3476</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60" customWidth="1"/>
    <col min="2" max="2" width="0.88671875" style="760" customWidth="1"/>
    <col min="3" max="3" width="16.44140625" style="760" customWidth="1"/>
    <col min="4" max="4" width="18.109375" style="760" customWidth="1"/>
    <col min="5" max="5" width="16.44140625" style="760" customWidth="1"/>
    <col min="6" max="6" width="13.109375" style="760" customWidth="1"/>
    <col min="7" max="7" width="14.44140625" style="760" customWidth="1"/>
    <col min="8" max="8" width="5.88671875" style="760" customWidth="1"/>
    <col min="9" max="16384" width="9.109375" style="760"/>
  </cols>
  <sheetData>
    <row r="1" spans="1:13" ht="12" customHeight="1">
      <c r="A1" s="3884" t="str">
        <f>CONCATENATE(Overview!E8,"  ",Overview!C8)</f>
        <v>2019-063  Haven at South Atlanta</v>
      </c>
      <c r="B1" s="3884"/>
      <c r="C1" s="3884"/>
      <c r="D1" s="3884"/>
      <c r="E1" s="3884"/>
      <c r="F1" s="3884"/>
      <c r="G1" s="3884"/>
      <c r="H1" s="3884"/>
    </row>
    <row r="3" spans="1:13" ht="12" customHeight="1">
      <c r="A3" s="3885" t="s">
        <v>3436</v>
      </c>
      <c r="B3" s="3885"/>
      <c r="C3" s="3885"/>
      <c r="D3" s="3885"/>
      <c r="E3" s="3885"/>
      <c r="F3" s="3885"/>
      <c r="G3" s="3885"/>
      <c r="H3" s="3885"/>
      <c r="I3" s="1329"/>
      <c r="J3" s="3887" t="s">
        <v>4044</v>
      </c>
      <c r="K3" s="3887"/>
      <c r="L3" s="833"/>
      <c r="M3" s="833"/>
    </row>
    <row r="4" spans="1:13">
      <c r="J4" s="3887"/>
      <c r="K4" s="3887"/>
    </row>
    <row r="5" spans="1:13" ht="12" customHeight="1">
      <c r="A5" s="760">
        <v>1</v>
      </c>
      <c r="C5" s="760" t="s">
        <v>3035</v>
      </c>
      <c r="E5" s="815" t="str">
        <f>Overview!H9</f>
        <v>Haven SA LLC</v>
      </c>
      <c r="J5" s="3887"/>
      <c r="K5" s="3887"/>
    </row>
    <row r="6" spans="1:13" ht="3" customHeight="1">
      <c r="H6" s="777"/>
      <c r="J6" s="3887"/>
      <c r="K6" s="3887"/>
    </row>
    <row r="7" spans="1:13" ht="12" customHeight="1">
      <c r="A7" s="760">
        <v>2</v>
      </c>
      <c r="C7" s="760" t="s">
        <v>3036</v>
      </c>
      <c r="E7" s="815" t="str">
        <f>'Part II-Development Team'!H6</f>
        <v>230 Wyoming Avenue</v>
      </c>
      <c r="J7" s="3887"/>
      <c r="K7" s="3887"/>
    </row>
    <row r="8" spans="1:13" ht="12" customHeight="1">
      <c r="E8" s="815" t="str">
        <f>+'Part II-Development Team'!H7&amp;","&amp;" "&amp;'Part II-Development Team'!H8&amp;" "&amp;LEFT('Part II-Development Team'!J8,5)</f>
        <v>Kingston, PA 18704</v>
      </c>
      <c r="J8" s="3887"/>
      <c r="K8" s="3887"/>
    </row>
    <row r="9" spans="1:13" ht="12" customHeight="1">
      <c r="C9" s="760" t="s">
        <v>3037</v>
      </c>
      <c r="E9" s="3886">
        <f>'Part II-Development Team'!L7</f>
        <v>0</v>
      </c>
      <c r="F9" s="3886"/>
      <c r="J9" s="3887"/>
      <c r="K9" s="3887"/>
    </row>
    <row r="10" spans="1:13" ht="12" customHeight="1">
      <c r="C10" s="760" t="s">
        <v>3038</v>
      </c>
      <c r="E10" s="815" t="str">
        <f>'Part II-Development Team'!Q5</f>
        <v>Mark H. Dambly</v>
      </c>
    </row>
    <row r="11" spans="1:13" ht="12" customHeight="1">
      <c r="C11" s="760" t="s">
        <v>4049</v>
      </c>
      <c r="E11" s="815" t="str">
        <f>'Part II-Development Team'!L9</f>
        <v xml:space="preserve">mdambly@pennrose.com </v>
      </c>
    </row>
    <row r="12" spans="1:13" ht="12" customHeight="1">
      <c r="C12" s="760" t="s">
        <v>4045</v>
      </c>
      <c r="E12" s="1330">
        <f>'Part II-Development Team'!H9</f>
        <v>2673868600</v>
      </c>
    </row>
    <row r="13" spans="1:13" ht="12" customHeight="1">
      <c r="C13" s="760" t="s">
        <v>4048</v>
      </c>
      <c r="E13" s="1330">
        <f>'Part II-Development Team'!Q7</f>
        <v>2673868668</v>
      </c>
    </row>
    <row r="14" spans="1:13" ht="3" customHeight="1"/>
    <row r="15" spans="1:13" ht="12" customHeight="1">
      <c r="A15" s="760">
        <v>3</v>
      </c>
      <c r="C15" s="760" t="s">
        <v>3039</v>
      </c>
      <c r="E15" s="815" t="str">
        <f>Overview!C8</f>
        <v>Haven at South Atlanta</v>
      </c>
    </row>
    <row r="16" spans="1:13" ht="12" customHeight="1">
      <c r="C16" s="760" t="s">
        <v>3040</v>
      </c>
      <c r="E16" s="815" t="str">
        <f>'Part I-Project Information'!$F$35</f>
        <v>57 Hardwick Street SE</v>
      </c>
    </row>
    <row r="17" spans="1:8" ht="12" customHeight="1">
      <c r="E17" s="815" t="str">
        <f>+'Part I-Project Information'!$F$38&amp;","&amp;" GA "&amp;LEFT('Part I-Project Information'!$J$38,5)</f>
        <v>Atlanta, GA 30315</v>
      </c>
    </row>
    <row r="18" spans="1:8" ht="3" customHeight="1"/>
    <row r="19" spans="1:8" ht="12" customHeight="1">
      <c r="A19" s="760">
        <v>4</v>
      </c>
      <c r="C19" s="760" t="s">
        <v>3041</v>
      </c>
      <c r="E19" s="815" t="str">
        <f>'Part II-Development Team'!H92</f>
        <v>LEDIC Management Group, LLC</v>
      </c>
    </row>
    <row r="20" spans="1:8" ht="12" customHeight="1">
      <c r="C20" s="760" t="s">
        <v>3042</v>
      </c>
      <c r="E20" s="815" t="str">
        <f>'Part II-Development Team'!H93</f>
        <v>555 Perkins Ext</v>
      </c>
    </row>
    <row r="21" spans="1:8" ht="12" customHeight="1">
      <c r="E21" s="815" t="str">
        <f>+'Part II-Development Team'!H94&amp;","&amp;" "&amp;'Part II-Development Team'!H95&amp;" "&amp;LEFT('Part II-Development Team'!L95,5)</f>
        <v>Memphis, TN 30338</v>
      </c>
    </row>
    <row r="22" spans="1:8" ht="12" customHeight="1">
      <c r="C22" s="760" t="s">
        <v>4045</v>
      </c>
      <c r="E22" s="1330">
        <f>'Part II-Development Team'!H96</f>
        <v>9014357700</v>
      </c>
    </row>
    <row r="23" spans="1:8" ht="12" customHeight="1">
      <c r="C23" s="760" t="s">
        <v>4048</v>
      </c>
      <c r="E23" s="1330">
        <f>'Part II-Development Team'!Q94</f>
        <v>9014357710</v>
      </c>
    </row>
    <row r="24" spans="1:8" ht="12" customHeight="1">
      <c r="C24" s="760" t="s">
        <v>4049</v>
      </c>
      <c r="E24" s="1330" t="str">
        <f>'Part II-Development Team'!L96</f>
        <v>pierce.ledbetter@ledic.com</v>
      </c>
    </row>
    <row r="25" spans="1:8" ht="3" customHeight="1">
      <c r="E25" s="815"/>
    </row>
    <row r="26" spans="1:8" ht="12" customHeight="1">
      <c r="A26" s="760">
        <v>5</v>
      </c>
      <c r="C26" s="760" t="s">
        <v>3043</v>
      </c>
      <c r="E26" s="815" t="str">
        <f>Overview!$H$7</f>
        <v>New Construction</v>
      </c>
    </row>
    <row r="27" spans="1:8" ht="12" customHeight="1">
      <c r="E27" s="1328" t="s">
        <v>1749</v>
      </c>
    </row>
    <row r="28" spans="1:8" ht="12" customHeight="1">
      <c r="C28" s="760" t="s">
        <v>3435</v>
      </c>
      <c r="E28" s="760" t="str">
        <f>Overview!$C$9</f>
        <v>&lt;&lt;Select&gt;&gt;</v>
      </c>
    </row>
    <row r="29" spans="1:8" ht="3" customHeight="1">
      <c r="H29" s="837"/>
    </row>
    <row r="30" spans="1:8" ht="12" customHeight="1">
      <c r="A30" s="760">
        <v>6</v>
      </c>
      <c r="C30" s="760" t="s">
        <v>3044</v>
      </c>
      <c r="E30" s="760" t="s">
        <v>2378</v>
      </c>
      <c r="F30" s="1331">
        <f>'Part III-Sources of Funds'!L20</f>
        <v>4041894</v>
      </c>
      <c r="G30" s="760" t="s">
        <v>3045</v>
      </c>
    </row>
    <row r="31" spans="1:8" ht="12" customHeight="1">
      <c r="F31" s="1331" t="s">
        <v>3046</v>
      </c>
      <c r="G31" s="760" t="s">
        <v>3047</v>
      </c>
    </row>
    <row r="32" spans="1:8" ht="3" customHeight="1">
      <c r="F32" s="805"/>
    </row>
    <row r="33" spans="1:7" ht="12" customHeight="1">
      <c r="A33" s="760">
        <v>7</v>
      </c>
      <c r="C33" s="760" t="s">
        <v>3048</v>
      </c>
      <c r="F33" s="1332">
        <v>0</v>
      </c>
    </row>
    <row r="34" spans="1:7" ht="3" customHeight="1">
      <c r="F34" s="805"/>
    </row>
    <row r="35" spans="1:7" ht="12" customHeight="1">
      <c r="A35" s="760">
        <v>8</v>
      </c>
      <c r="C35" s="760" t="s">
        <v>3049</v>
      </c>
      <c r="E35" s="760" t="s">
        <v>2378</v>
      </c>
      <c r="F35" s="1333">
        <v>0.01</v>
      </c>
    </row>
    <row r="36" spans="1:7" ht="3" customHeight="1">
      <c r="F36" s="1332"/>
    </row>
    <row r="37" spans="1:7" ht="12" customHeight="1">
      <c r="A37" s="760">
        <v>9</v>
      </c>
      <c r="C37" s="760" t="s">
        <v>3050</v>
      </c>
      <c r="F37" s="1334">
        <v>24</v>
      </c>
      <c r="G37" s="760" t="s">
        <v>3051</v>
      </c>
    </row>
    <row r="38" spans="1:7" ht="3" customHeight="1">
      <c r="F38" s="1332"/>
    </row>
    <row r="39" spans="1:7" ht="12" customHeight="1">
      <c r="A39" s="760">
        <v>10</v>
      </c>
      <c r="C39" s="760" t="s">
        <v>3052</v>
      </c>
      <c r="E39" s="760" t="s">
        <v>2378</v>
      </c>
      <c r="F39" s="805">
        <f>'Part III-Sources of Funds'!L38*12</f>
        <v>180</v>
      </c>
      <c r="G39" s="760" t="s">
        <v>3051</v>
      </c>
    </row>
    <row r="40" spans="1:7" ht="3" customHeight="1">
      <c r="F40" s="805"/>
    </row>
    <row r="41" spans="1:7" ht="12" customHeight="1">
      <c r="A41" s="760">
        <v>11</v>
      </c>
      <c r="C41" s="760" t="s">
        <v>3053</v>
      </c>
      <c r="F41" s="1335">
        <v>24</v>
      </c>
      <c r="G41" s="760" t="s">
        <v>3051</v>
      </c>
    </row>
    <row r="42" spans="1:7" ht="3" customHeight="1"/>
    <row r="43" spans="1:7" ht="12" customHeight="1">
      <c r="A43" s="760">
        <v>12</v>
      </c>
      <c r="C43" s="760" t="s">
        <v>3054</v>
      </c>
      <c r="F43" s="1336" t="s">
        <v>3055</v>
      </c>
    </row>
    <row r="44" spans="1:7" ht="3" customHeight="1"/>
    <row r="45" spans="1:7" ht="12" customHeight="1">
      <c r="A45" s="760">
        <v>13</v>
      </c>
      <c r="C45" s="760" t="s">
        <v>3056</v>
      </c>
      <c r="E45" s="760" t="s">
        <v>2378</v>
      </c>
      <c r="F45" s="815" t="s">
        <v>3057</v>
      </c>
    </row>
    <row r="46" spans="1:7" ht="3" customHeight="1">
      <c r="F46" s="777"/>
    </row>
    <row r="47" spans="1:7" ht="12" customHeight="1">
      <c r="A47" s="760">
        <v>14</v>
      </c>
      <c r="C47" s="760" t="s">
        <v>3058</v>
      </c>
      <c r="E47" s="815" t="str">
        <f>'Part II-Development Team'!H14</f>
        <v>Haven SA MM LLC</v>
      </c>
    </row>
    <row r="48" spans="1:7" ht="3" customHeight="1">
      <c r="E48" s="815"/>
    </row>
    <row r="49" spans="1:7" ht="12" customHeight="1">
      <c r="A49" s="760">
        <v>15</v>
      </c>
      <c r="C49" s="760" t="s">
        <v>4051</v>
      </c>
      <c r="E49" s="815" t="str">
        <f>'Part II-Development Team'!Q98</f>
        <v>Steve Berman</v>
      </c>
      <c r="G49" s="815" t="str">
        <f>'Part II-Development Team'!H98</f>
        <v>Berman Indictor LLP</v>
      </c>
    </row>
    <row r="50" spans="1:7" ht="12" customHeight="1">
      <c r="C50" s="760" t="s">
        <v>3059</v>
      </c>
      <c r="E50" s="815">
        <f>'Part II-Development Team'!O102</f>
        <v>0</v>
      </c>
      <c r="F50" s="805"/>
    </row>
    <row r="51" spans="1:7" ht="3" customHeight="1">
      <c r="F51" s="805"/>
    </row>
    <row r="52" spans="1:7" ht="12" customHeight="1">
      <c r="A52" s="760">
        <v>16</v>
      </c>
      <c r="C52" s="760" t="s">
        <v>3060</v>
      </c>
      <c r="F52" s="1335">
        <f>Overview!C13</f>
        <v>84</v>
      </c>
    </row>
    <row r="53" spans="1:7" ht="3" customHeight="1">
      <c r="F53" s="805"/>
    </row>
    <row r="54" spans="1:7" ht="12" customHeight="1">
      <c r="A54" s="833">
        <v>17</v>
      </c>
      <c r="B54" s="833"/>
      <c r="C54" s="833" t="s">
        <v>3061</v>
      </c>
      <c r="D54" s="833"/>
      <c r="E54" s="833"/>
      <c r="F54" s="1337">
        <f>'HOME Allocation Limit WS'!K18</f>
        <v>71</v>
      </c>
      <c r="G54" s="833"/>
    </row>
    <row r="55" spans="1:7" ht="3" customHeight="1">
      <c r="F55" s="805"/>
    </row>
    <row r="56" spans="1:7" ht="12" customHeight="1">
      <c r="A56" s="760">
        <v>18</v>
      </c>
      <c r="C56" s="760" t="s">
        <v>3062</v>
      </c>
      <c r="F56" s="1337">
        <f>'Part VI-Revenues &amp; Expenses'!O66</f>
        <v>0</v>
      </c>
      <c r="G56" s="760" t="s">
        <v>4050</v>
      </c>
    </row>
    <row r="57" spans="1:7" ht="3" customHeight="1">
      <c r="F57" s="805"/>
    </row>
    <row r="58" spans="1:7" ht="12" customHeight="1">
      <c r="A58" s="760">
        <v>19</v>
      </c>
      <c r="C58" s="760" t="s">
        <v>3063</v>
      </c>
      <c r="F58" s="1338"/>
      <c r="G58" s="760" t="s">
        <v>3437</v>
      </c>
    </row>
    <row r="59" spans="1:7" ht="3" customHeight="1">
      <c r="F59" s="805"/>
    </row>
    <row r="60" spans="1:7" ht="12" customHeight="1">
      <c r="A60" s="760">
        <v>20</v>
      </c>
      <c r="C60" s="760" t="s">
        <v>3064</v>
      </c>
      <c r="F60" s="1339" t="s">
        <v>957</v>
      </c>
      <c r="G60" s="833"/>
    </row>
    <row r="61" spans="1:7" ht="3" customHeight="1"/>
    <row r="62" spans="1:7" ht="12" customHeight="1">
      <c r="A62" s="760">
        <v>21</v>
      </c>
      <c r="C62" s="760" t="s">
        <v>3452</v>
      </c>
      <c r="E62" s="1340" t="s">
        <v>3438</v>
      </c>
      <c r="F62" s="1341" t="s">
        <v>3439</v>
      </c>
      <c r="G62" s="1340" t="s">
        <v>3065</v>
      </c>
    </row>
    <row r="63" spans="1:7" ht="12" customHeight="1">
      <c r="E63" s="1340" t="s">
        <v>3438</v>
      </c>
      <c r="F63" s="1341" t="s">
        <v>3439</v>
      </c>
      <c r="G63" s="1340"/>
    </row>
    <row r="64" spans="1:7" ht="3" customHeight="1"/>
    <row r="65" spans="1:7" ht="12" customHeight="1">
      <c r="A65" s="760">
        <v>22</v>
      </c>
      <c r="C65" s="760" t="s">
        <v>3066</v>
      </c>
      <c r="E65" s="815" t="str">
        <f>Overview!H9</f>
        <v>Haven SA LLC</v>
      </c>
    </row>
    <row r="66" spans="1:7" ht="3" customHeight="1"/>
    <row r="67" spans="1:7" ht="12" customHeight="1">
      <c r="A67" s="760">
        <v>23</v>
      </c>
      <c r="C67" s="760" t="s">
        <v>3067</v>
      </c>
      <c r="F67" s="805" t="s">
        <v>3068</v>
      </c>
    </row>
    <row r="68" spans="1:7" ht="3" customHeight="1"/>
    <row r="69" spans="1:7" ht="12" customHeight="1">
      <c r="A69" s="760">
        <v>24</v>
      </c>
      <c r="C69" s="760" t="s">
        <v>3069</v>
      </c>
      <c r="E69" s="760" t="s">
        <v>2378</v>
      </c>
      <c r="F69" s="805">
        <v>20</v>
      </c>
      <c r="G69" s="760" t="s">
        <v>2437</v>
      </c>
    </row>
    <row r="70" spans="1:7" ht="3" customHeight="1"/>
    <row r="71" spans="1:7" ht="12" customHeight="1">
      <c r="A71" s="760">
        <v>25</v>
      </c>
      <c r="C71" s="760" t="s">
        <v>3070</v>
      </c>
      <c r="F71" s="1342">
        <f>'Part IV-A-Uses of Funds'!$G$122</f>
        <v>333359</v>
      </c>
    </row>
    <row r="72" spans="1:7" ht="3" customHeight="1">
      <c r="F72" s="1342"/>
    </row>
    <row r="73" spans="1:7" ht="12" customHeight="1">
      <c r="A73" s="760">
        <v>26</v>
      </c>
      <c r="C73" s="760" t="s">
        <v>3071</v>
      </c>
      <c r="F73" s="1342">
        <f>'Part IV-A-Uses of Funds'!$G$123</f>
        <v>0</v>
      </c>
    </row>
    <row r="74" spans="1:7" ht="3" customHeight="1">
      <c r="F74" s="1342"/>
    </row>
    <row r="75" spans="1:7" ht="12" customHeight="1">
      <c r="A75" s="760">
        <v>27</v>
      </c>
      <c r="C75" s="760" t="s">
        <v>3072</v>
      </c>
      <c r="F75" s="1343">
        <f>'Part IV-A-Uses of Funds'!$G$121</f>
        <v>114043</v>
      </c>
    </row>
    <row r="76" spans="1:7" ht="3" customHeight="1">
      <c r="F76" s="1342"/>
    </row>
    <row r="77" spans="1:7" ht="12" customHeight="1">
      <c r="A77" s="760">
        <v>28</v>
      </c>
      <c r="C77" s="760" t="s">
        <v>3073</v>
      </c>
      <c r="F77" s="1344"/>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60" customWidth="1"/>
    <col min="2" max="2" width="11" style="760" customWidth="1"/>
    <col min="3" max="3" width="31" style="760" customWidth="1"/>
    <col min="4" max="4" width="14" style="760" customWidth="1"/>
    <col min="5" max="10" width="11.109375" style="760" customWidth="1"/>
    <col min="11" max="16384" width="9.109375" style="760"/>
  </cols>
  <sheetData>
    <row r="1" spans="1:13" ht="13.8">
      <c r="A1" s="3902" t="s">
        <v>3262</v>
      </c>
      <c r="B1" s="3902"/>
      <c r="C1" s="3902"/>
      <c r="D1" s="3902"/>
      <c r="E1" s="3902"/>
      <c r="F1" s="3902"/>
      <c r="G1" s="3902"/>
      <c r="H1" s="3902"/>
      <c r="I1" s="3902"/>
      <c r="J1" s="3902"/>
    </row>
    <row r="2" spans="1:13" ht="13.8">
      <c r="A2" s="3902" t="str">
        <f>Overview!E8&amp;"  "&amp;Overview!C8</f>
        <v>2019-063  Haven at South Atlanta</v>
      </c>
      <c r="B2" s="3902"/>
      <c r="C2" s="3902"/>
      <c r="D2" s="3902"/>
      <c r="E2" s="3902"/>
      <c r="F2" s="3902"/>
      <c r="G2" s="3902"/>
      <c r="H2" s="3902"/>
      <c r="I2" s="3902"/>
      <c r="J2" s="3902"/>
    </row>
    <row r="3" spans="1:13" ht="6" customHeight="1">
      <c r="K3" s="3887" t="s">
        <v>4044</v>
      </c>
      <c r="L3" s="3887"/>
      <c r="M3" s="3887"/>
    </row>
    <row r="4" spans="1:13" ht="12" customHeight="1">
      <c r="A4" s="801" t="s">
        <v>3074</v>
      </c>
      <c r="K4" s="3887"/>
      <c r="L4" s="3887"/>
      <c r="M4" s="3887"/>
    </row>
    <row r="5" spans="1:13" ht="12" customHeight="1">
      <c r="A5" s="760" t="s">
        <v>3075</v>
      </c>
      <c r="C5" s="802" t="str">
        <f>'Subsidy Layering Memo'!D6</f>
        <v>(Underwriter)</v>
      </c>
      <c r="I5" s="802"/>
      <c r="K5" s="3887"/>
      <c r="L5" s="3887"/>
      <c r="M5" s="3887"/>
    </row>
    <row r="6" spans="1:13" ht="6" customHeight="1">
      <c r="C6" s="697"/>
      <c r="D6" s="802"/>
      <c r="I6" s="802"/>
      <c r="K6" s="3887"/>
      <c r="L6" s="3887"/>
      <c r="M6" s="3887"/>
    </row>
    <row r="7" spans="1:13" ht="12" customHeight="1">
      <c r="A7" s="801" t="s">
        <v>3076</v>
      </c>
      <c r="C7" s="697"/>
      <c r="D7" s="802"/>
      <c r="I7" s="802"/>
      <c r="K7" s="3887"/>
      <c r="L7" s="3887"/>
      <c r="M7" s="3887"/>
    </row>
    <row r="8" spans="1:13" ht="12" customHeight="1">
      <c r="A8" s="760" t="s">
        <v>3077</v>
      </c>
      <c r="C8" s="802" t="str">
        <f>Overview!$H$9</f>
        <v>Haven SA LLC</v>
      </c>
      <c r="I8" s="802"/>
      <c r="K8" s="3887"/>
      <c r="L8" s="3887"/>
      <c r="M8" s="3887"/>
    </row>
    <row r="9" spans="1:13" ht="3" customHeight="1">
      <c r="C9" s="697"/>
      <c r="D9" s="802"/>
      <c r="I9" s="802"/>
    </row>
    <row r="10" spans="1:13" ht="12" customHeight="1">
      <c r="A10" s="760" t="s">
        <v>3078</v>
      </c>
      <c r="C10" s="1276" t="s">
        <v>1749</v>
      </c>
      <c r="I10" s="802"/>
    </row>
    <row r="11" spans="1:13" ht="12" customHeight="1">
      <c r="C11" s="1276" t="s">
        <v>1749</v>
      </c>
      <c r="I11" s="802"/>
    </row>
    <row r="12" spans="1:13" ht="12" customHeight="1">
      <c r="C12" s="802" t="s">
        <v>2642</v>
      </c>
      <c r="D12" s="823" t="s">
        <v>1749</v>
      </c>
      <c r="I12" s="802"/>
    </row>
    <row r="13" spans="1:13" ht="12" customHeight="1">
      <c r="C13" s="802" t="s">
        <v>3079</v>
      </c>
      <c r="D13" s="3895"/>
      <c r="E13" s="3895"/>
      <c r="F13" s="3895"/>
      <c r="G13" s="3895"/>
      <c r="H13" s="3895"/>
      <c r="I13" s="3895"/>
      <c r="J13" s="3895"/>
    </row>
    <row r="14" spans="1:13" ht="3" customHeight="1">
      <c r="G14" s="697"/>
      <c r="H14" s="802"/>
      <c r="I14" s="802"/>
    </row>
    <row r="15" spans="1:13" ht="12" customHeight="1">
      <c r="A15" s="760" t="s">
        <v>3080</v>
      </c>
      <c r="C15" s="804" t="str">
        <f>'Preview term'!E10</f>
        <v>Mark H. Dambly</v>
      </c>
      <c r="G15" s="697"/>
      <c r="I15" s="802"/>
    </row>
    <row r="16" spans="1:13" ht="12" customHeight="1">
      <c r="A16" s="815" t="s">
        <v>4258</v>
      </c>
      <c r="C16" s="804" t="str">
        <f>'Part II-Development Team'!Q6</f>
        <v>President, Managing Mbr</v>
      </c>
      <c r="G16" s="697"/>
      <c r="I16" s="802"/>
    </row>
    <row r="17" spans="1:9" ht="3" customHeight="1">
      <c r="G17" s="697"/>
      <c r="H17" s="802"/>
      <c r="I17" s="802"/>
    </row>
    <row r="18" spans="1:9" ht="12" customHeight="1">
      <c r="A18" s="760" t="s">
        <v>3081</v>
      </c>
      <c r="C18" s="804" t="str">
        <f>'Preview term'!$E$7</f>
        <v>230 Wyoming Avenue</v>
      </c>
      <c r="G18" s="697"/>
      <c r="I18" s="802"/>
    </row>
    <row r="19" spans="1:9" ht="12" customHeight="1">
      <c r="C19" s="804" t="str">
        <f>'Preview term'!$E$8</f>
        <v>Kingston, PA 18704</v>
      </c>
      <c r="G19" s="697"/>
      <c r="I19" s="802"/>
    </row>
    <row r="20" spans="1:9" ht="3" customHeight="1">
      <c r="G20" s="697"/>
      <c r="H20" s="802"/>
      <c r="I20" s="802"/>
    </row>
    <row r="21" spans="1:9" ht="12" customHeight="1">
      <c r="A21" s="760" t="s">
        <v>3082</v>
      </c>
      <c r="C21" s="804" t="str">
        <f>CONCATENATE('Preview term'!E49," of  ",'Preview term'!G49)</f>
        <v>Steve Berman of  Berman Indictor LLP</v>
      </c>
      <c r="G21" s="697"/>
      <c r="I21" s="802"/>
    </row>
    <row r="22" spans="1:9" ht="3" customHeight="1">
      <c r="C22" s="804"/>
      <c r="G22" s="697"/>
      <c r="I22" s="802"/>
    </row>
    <row r="23" spans="1:9" ht="12" customHeight="1">
      <c r="A23" s="760" t="s">
        <v>3083</v>
      </c>
      <c r="C23" s="804">
        <f>'Preview term'!E12</f>
        <v>2673868600</v>
      </c>
      <c r="G23" s="697"/>
      <c r="I23" s="802"/>
    </row>
    <row r="24" spans="1:9" ht="3" customHeight="1">
      <c r="C24" s="804"/>
      <c r="G24" s="697"/>
      <c r="I24" s="802"/>
    </row>
    <row r="25" spans="1:9" ht="12" customHeight="1">
      <c r="A25" s="760" t="s">
        <v>3084</v>
      </c>
      <c r="C25" s="1278" t="str">
        <f>'Preview term'!E11</f>
        <v xml:space="preserve">mdambly@pennrose.com </v>
      </c>
      <c r="G25" s="697"/>
    </row>
    <row r="26" spans="1:9" ht="6" customHeight="1">
      <c r="G26" s="697"/>
      <c r="H26" s="802"/>
      <c r="I26" s="802"/>
    </row>
    <row r="27" spans="1:9" ht="12" customHeight="1">
      <c r="A27" s="801" t="s">
        <v>3085</v>
      </c>
      <c r="G27" s="697"/>
      <c r="H27" s="802"/>
      <c r="I27" s="802"/>
    </row>
    <row r="28" spans="1:9" ht="12" customHeight="1">
      <c r="A28" s="760" t="s">
        <v>3086</v>
      </c>
      <c r="C28" s="804" t="str">
        <f>Overview!$C$8</f>
        <v>Haven at South Atlanta</v>
      </c>
      <c r="I28" s="802"/>
    </row>
    <row r="29" spans="1:9" ht="3" customHeight="1">
      <c r="C29" s="804"/>
      <c r="I29" s="802"/>
    </row>
    <row r="30" spans="1:9" ht="12" customHeight="1">
      <c r="A30" s="760" t="s">
        <v>3087</v>
      </c>
      <c r="C30" s="804" t="str">
        <f>'Preview term'!E16</f>
        <v>57 Hardwick Street SE</v>
      </c>
      <c r="I30" s="802"/>
    </row>
    <row r="31" spans="1:9">
      <c r="C31" s="802" t="str">
        <f>'Preview term'!E17</f>
        <v>Atlanta, GA 30315</v>
      </c>
      <c r="I31" s="802"/>
    </row>
    <row r="32" spans="1:9" ht="3" customHeight="1">
      <c r="C32" s="697"/>
      <c r="D32" s="697"/>
      <c r="I32" s="697"/>
    </row>
    <row r="33" spans="1:10" ht="12" customHeight="1">
      <c r="A33" s="760" t="s">
        <v>3088</v>
      </c>
      <c r="C33" s="697" t="s">
        <v>3089</v>
      </c>
      <c r="D33" s="1277">
        <f>'Preview term'!F54</f>
        <v>71</v>
      </c>
      <c r="I33" s="697"/>
    </row>
    <row r="34" spans="1:10" ht="12" customHeight="1">
      <c r="C34" s="697" t="s">
        <v>3090</v>
      </c>
      <c r="D34" s="806">
        <f>'HOME Allocation Limit WS'!H12-'HOME Allocation Limit WS'!D12</f>
        <v>13</v>
      </c>
      <c r="I34" s="697"/>
    </row>
    <row r="35" spans="1:10" ht="12" customHeight="1">
      <c r="C35" s="697" t="s">
        <v>3091</v>
      </c>
      <c r="D35" s="807">
        <f>SUM(D33:D34)</f>
        <v>84</v>
      </c>
      <c r="I35" s="697"/>
    </row>
    <row r="36" spans="1:10" ht="3" customHeight="1">
      <c r="C36" s="697"/>
      <c r="D36" s="697"/>
      <c r="I36" s="697"/>
    </row>
    <row r="37" spans="1:10" ht="12" customHeight="1">
      <c r="A37" s="760" t="s">
        <v>3092</v>
      </c>
      <c r="C37" s="1340" t="s">
        <v>1749</v>
      </c>
      <c r="D37" s="1275">
        <f>'Preview term'!F56</f>
        <v>0</v>
      </c>
      <c r="E37" s="697" t="s">
        <v>3093</v>
      </c>
      <c r="I37" s="697"/>
    </row>
    <row r="38" spans="1:10" ht="3" customHeight="1">
      <c r="G38" s="808"/>
      <c r="H38" s="697"/>
      <c r="I38" s="697"/>
    </row>
    <row r="39" spans="1:10" ht="25.5" customHeight="1">
      <c r="A39" s="809" t="s">
        <v>3094</v>
      </c>
      <c r="C39" s="3903"/>
      <c r="D39" s="3903"/>
      <c r="E39" s="3903"/>
      <c r="F39" s="3903"/>
      <c r="G39" s="3903"/>
      <c r="H39" s="3903"/>
      <c r="I39" s="3903"/>
      <c r="J39" s="3903"/>
    </row>
    <row r="40" spans="1:10" ht="3" customHeight="1">
      <c r="G40" s="697"/>
      <c r="H40" s="697"/>
      <c r="I40" s="697"/>
    </row>
    <row r="41" spans="1:10" ht="25.5" customHeight="1">
      <c r="A41" s="809" t="s">
        <v>3095</v>
      </c>
      <c r="C41" s="3904" t="s">
        <v>3440</v>
      </c>
      <c r="D41" s="3904"/>
      <c r="E41" s="3904"/>
      <c r="F41" s="3904"/>
      <c r="G41" s="3904"/>
      <c r="H41" s="3904"/>
      <c r="I41" s="3904"/>
      <c r="J41" s="3904"/>
    </row>
    <row r="42" spans="1:10" ht="3" customHeight="1">
      <c r="C42" s="560"/>
      <c r="D42" s="560"/>
      <c r="E42" s="560"/>
      <c r="F42" s="560"/>
      <c r="G42" s="560"/>
      <c r="H42" s="561"/>
      <c r="I42" s="562"/>
      <c r="J42" s="561"/>
    </row>
    <row r="43" spans="1:10" ht="12" customHeight="1">
      <c r="A43" s="760" t="s">
        <v>3096</v>
      </c>
      <c r="C43" s="633" t="str">
        <f>'Part I-Project Information'!J39</f>
        <v>Fulton</v>
      </c>
      <c r="D43" s="560"/>
      <c r="F43" s="561"/>
      <c r="I43" s="562"/>
      <c r="J43" s="561"/>
    </row>
    <row r="44" spans="1:10" ht="3" customHeight="1">
      <c r="C44" s="560"/>
      <c r="D44" s="560"/>
      <c r="E44" s="560"/>
      <c r="F44" s="561"/>
      <c r="I44" s="562"/>
      <c r="J44" s="561"/>
    </row>
    <row r="45" spans="1:10" ht="12" customHeight="1">
      <c r="A45" s="760" t="s">
        <v>3097</v>
      </c>
      <c r="C45" s="823" t="s">
        <v>1749</v>
      </c>
      <c r="I45" s="562"/>
      <c r="J45" s="561"/>
    </row>
    <row r="46" spans="1:10" ht="3" customHeight="1">
      <c r="C46" s="697"/>
      <c r="D46" s="810"/>
      <c r="I46" s="697"/>
    </row>
    <row r="47" spans="1:10" ht="12" customHeight="1">
      <c r="A47" s="760" t="s">
        <v>3098</v>
      </c>
      <c r="C47" s="811"/>
      <c r="I47" s="812"/>
      <c r="J47" s="812"/>
    </row>
    <row r="48" spans="1:10" ht="3" customHeight="1">
      <c r="D48" s="812"/>
      <c r="E48" s="812"/>
      <c r="F48" s="812"/>
      <c r="G48" s="813"/>
      <c r="H48" s="697"/>
      <c r="I48" s="812"/>
      <c r="J48" s="812"/>
    </row>
    <row r="49" spans="1:10" ht="12" customHeight="1">
      <c r="A49" s="697"/>
      <c r="B49" s="760" t="s">
        <v>3099</v>
      </c>
      <c r="C49" s="3904" t="s">
        <v>565</v>
      </c>
      <c r="D49" s="3904"/>
      <c r="E49" s="3904"/>
      <c r="F49" s="3904"/>
      <c r="G49" s="3904"/>
      <c r="H49" s="3904"/>
      <c r="I49" s="3904"/>
      <c r="J49" s="3904"/>
    </row>
    <row r="50" spans="1:10" ht="12" customHeight="1">
      <c r="C50" s="3899" t="s">
        <v>1784</v>
      </c>
      <c r="D50" s="3899"/>
      <c r="E50" s="3899"/>
      <c r="F50" s="3899"/>
      <c r="G50" s="3899"/>
      <c r="H50" s="3899"/>
      <c r="I50" s="3899"/>
      <c r="J50" s="3899"/>
    </row>
    <row r="51" spans="1:10" ht="3" customHeight="1">
      <c r="D51" s="812"/>
      <c r="E51" s="812"/>
      <c r="F51" s="812"/>
      <c r="G51" s="813"/>
      <c r="H51" s="697"/>
      <c r="I51" s="812"/>
      <c r="J51" s="812"/>
    </row>
    <row r="52" spans="1:10" ht="12" customHeight="1">
      <c r="A52" s="809" t="s">
        <v>3100</v>
      </c>
      <c r="B52" s="809"/>
      <c r="C52" s="814" t="s">
        <v>3101</v>
      </c>
      <c r="D52" s="814" t="s">
        <v>3441</v>
      </c>
      <c r="E52" s="3900"/>
      <c r="F52" s="3900"/>
      <c r="G52" s="3900"/>
      <c r="H52" s="3900"/>
      <c r="I52" s="3900"/>
      <c r="J52" s="3900"/>
    </row>
    <row r="53" spans="1:10" ht="12" customHeight="1">
      <c r="A53" s="809"/>
      <c r="B53" s="809"/>
      <c r="C53" s="809"/>
      <c r="D53" s="814" t="s">
        <v>3442</v>
      </c>
      <c r="E53" s="3901"/>
      <c r="F53" s="3901"/>
      <c r="G53" s="3901"/>
      <c r="H53" s="3901"/>
      <c r="I53" s="3901"/>
      <c r="J53" s="3901"/>
    </row>
    <row r="54" spans="1:10" ht="12" customHeight="1">
      <c r="A54" s="801" t="s">
        <v>3102</v>
      </c>
      <c r="G54" s="697"/>
      <c r="H54" s="697"/>
      <c r="I54" s="697"/>
    </row>
    <row r="55" spans="1:10" ht="18" customHeight="1">
      <c r="A55" s="760" t="s">
        <v>3103</v>
      </c>
      <c r="C55" s="803" t="str">
        <f>Overview!C10</f>
        <v>Haven SA MM LLC</v>
      </c>
      <c r="G55" s="697"/>
      <c r="I55" s="697"/>
    </row>
    <row r="56" spans="1:10" ht="3" customHeight="1">
      <c r="C56" s="803"/>
      <c r="G56" s="697"/>
      <c r="I56" s="697"/>
    </row>
    <row r="57" spans="1:10" ht="12" customHeight="1">
      <c r="A57" s="760" t="s">
        <v>3104</v>
      </c>
      <c r="C57" s="803" t="str">
        <f>Overview!C11</f>
        <v/>
      </c>
      <c r="E57" s="803" t="str">
        <f>Overview!E11</f>
        <v/>
      </c>
      <c r="G57" s="697"/>
      <c r="I57" s="697"/>
    </row>
    <row r="58" spans="1:10" ht="3" customHeight="1">
      <c r="C58" s="803"/>
      <c r="G58" s="697"/>
      <c r="I58" s="697"/>
    </row>
    <row r="59" spans="1:10" ht="12" customHeight="1">
      <c r="A59" s="760" t="s">
        <v>3105</v>
      </c>
      <c r="C59" s="803" t="s">
        <v>2774</v>
      </c>
      <c r="G59" s="697"/>
      <c r="I59" s="697"/>
    </row>
    <row r="60" spans="1:10" ht="6" customHeight="1">
      <c r="G60" s="697"/>
      <c r="H60" s="697"/>
      <c r="I60" s="697"/>
    </row>
    <row r="61" spans="1:10" ht="12" customHeight="1">
      <c r="A61" s="801" t="s">
        <v>3106</v>
      </c>
      <c r="G61" s="697"/>
      <c r="H61" s="697"/>
      <c r="I61" s="697"/>
    </row>
    <row r="62" spans="1:10" ht="12" customHeight="1">
      <c r="A62" s="760" t="s">
        <v>3107</v>
      </c>
      <c r="C62" s="760" t="s">
        <v>3108</v>
      </c>
      <c r="D62" s="1279">
        <f>'Preview term'!F30</f>
        <v>4041894</v>
      </c>
      <c r="G62" s="697"/>
      <c r="I62" s="697"/>
    </row>
    <row r="63" spans="1:10" ht="3" customHeight="1">
      <c r="D63" s="815"/>
      <c r="G63" s="697"/>
      <c r="H63" s="816"/>
      <c r="I63" s="697"/>
    </row>
    <row r="64" spans="1:10" ht="12" customHeight="1">
      <c r="A64" s="760" t="s">
        <v>3109</v>
      </c>
      <c r="C64" s="760" t="s">
        <v>3111</v>
      </c>
      <c r="D64" s="803" t="s">
        <v>957</v>
      </c>
      <c r="G64" s="697"/>
      <c r="I64" s="697"/>
    </row>
    <row r="65" spans="1:10" ht="3" customHeight="1">
      <c r="D65" s="815"/>
      <c r="G65" s="697"/>
      <c r="H65" s="697"/>
      <c r="I65" s="697"/>
    </row>
    <row r="66" spans="1:10" ht="12" customHeight="1">
      <c r="A66" s="760" t="s">
        <v>3112</v>
      </c>
      <c r="C66" s="1280" t="s">
        <v>1749</v>
      </c>
      <c r="D66" s="829"/>
      <c r="I66" s="697"/>
    </row>
    <row r="67" spans="1:10" ht="12" customHeight="1">
      <c r="C67" s="760" t="s">
        <v>3113</v>
      </c>
      <c r="D67" s="1327" t="s">
        <v>1749</v>
      </c>
      <c r="I67" s="697"/>
    </row>
    <row r="68" spans="1:10" ht="12" customHeight="1">
      <c r="C68" s="760" t="s">
        <v>3079</v>
      </c>
      <c r="D68" s="3895"/>
      <c r="E68" s="3895"/>
      <c r="F68" s="3895"/>
      <c r="G68" s="3895"/>
      <c r="H68" s="3895"/>
      <c r="I68" s="3895"/>
      <c r="J68" s="3895"/>
    </row>
    <row r="69" spans="1:10" ht="3" customHeight="1">
      <c r="D69" s="815"/>
      <c r="E69" s="697"/>
      <c r="F69" s="697"/>
      <c r="I69" s="697"/>
    </row>
    <row r="70" spans="1:10" ht="12" customHeight="1">
      <c r="A70" s="760" t="s">
        <v>3114</v>
      </c>
      <c r="C70" s="760" t="s">
        <v>2378</v>
      </c>
      <c r="D70" s="823" t="s">
        <v>1749</v>
      </c>
      <c r="I70" s="697"/>
    </row>
    <row r="71" spans="1:10" ht="3" customHeight="1">
      <c r="D71" s="697"/>
      <c r="E71" s="697"/>
      <c r="I71" s="697"/>
    </row>
    <row r="72" spans="1:10" ht="12" customHeight="1">
      <c r="A72" s="760" t="s">
        <v>3115</v>
      </c>
      <c r="C72" s="1280" t="s">
        <v>1749</v>
      </c>
      <c r="I72" s="697"/>
    </row>
    <row r="73" spans="1:10" ht="3" customHeight="1">
      <c r="C73" s="815"/>
      <c r="G73" s="817"/>
      <c r="H73" s="697"/>
      <c r="I73" s="697"/>
    </row>
    <row r="74" spans="1:10" ht="12" customHeight="1">
      <c r="A74" s="760" t="s">
        <v>3116</v>
      </c>
      <c r="C74" s="815" t="s">
        <v>3117</v>
      </c>
      <c r="D74" s="1282">
        <v>0</v>
      </c>
      <c r="J74" s="697"/>
    </row>
    <row r="75" spans="1:10" ht="12" customHeight="1">
      <c r="C75" s="818" t="s">
        <v>3274</v>
      </c>
      <c r="D75" s="1283">
        <v>0.01</v>
      </c>
      <c r="J75" s="697"/>
    </row>
    <row r="76" spans="1:10" ht="3" customHeight="1">
      <c r="C76" s="815"/>
      <c r="D76" s="815"/>
      <c r="G76" s="697"/>
      <c r="H76" s="697"/>
      <c r="I76" s="697"/>
    </row>
    <row r="77" spans="1:10" ht="12" customHeight="1">
      <c r="A77" s="760" t="s">
        <v>3118</v>
      </c>
      <c r="C77" s="815" t="s">
        <v>3491</v>
      </c>
      <c r="D77" s="820">
        <v>24</v>
      </c>
      <c r="I77" s="697"/>
    </row>
    <row r="78" spans="1:10" ht="3" customHeight="1">
      <c r="D78" s="815"/>
      <c r="E78" s="697"/>
      <c r="F78" s="697"/>
      <c r="I78" s="697"/>
    </row>
    <row r="79" spans="1:10" ht="12" customHeight="1">
      <c r="A79" s="760" t="s">
        <v>3119</v>
      </c>
      <c r="C79" s="760" t="s">
        <v>2378</v>
      </c>
      <c r="D79" s="821">
        <f>'Preview term'!F39</f>
        <v>180</v>
      </c>
      <c r="E79" s="697" t="s">
        <v>3445</v>
      </c>
      <c r="I79" s="697"/>
    </row>
    <row r="80" spans="1:10" ht="3" customHeight="1">
      <c r="D80" s="815"/>
      <c r="G80" s="697"/>
      <c r="H80" s="697"/>
      <c r="I80" s="697"/>
    </row>
    <row r="81" spans="1:9" ht="12" customHeight="1">
      <c r="A81" s="760" t="s">
        <v>3120</v>
      </c>
      <c r="D81" s="1281">
        <v>0</v>
      </c>
      <c r="E81" s="822">
        <f>D81*12</f>
        <v>0</v>
      </c>
      <c r="F81" s="697" t="s">
        <v>3492</v>
      </c>
    </row>
    <row r="82" spans="1:9" ht="3" customHeight="1">
      <c r="D82" s="803"/>
      <c r="E82" s="697"/>
      <c r="G82" s="697"/>
    </row>
    <row r="83" spans="1:9" ht="12" customHeight="1">
      <c r="A83" s="760" t="s">
        <v>3121</v>
      </c>
      <c r="D83" s="1327" t="s">
        <v>957</v>
      </c>
      <c r="E83" s="697" t="s">
        <v>3122</v>
      </c>
      <c r="G83" s="697"/>
    </row>
    <row r="84" spans="1:9" ht="3" customHeight="1">
      <c r="G84" s="697"/>
      <c r="H84" s="697"/>
      <c r="I84" s="697"/>
    </row>
    <row r="85" spans="1:9" ht="12" customHeight="1">
      <c r="A85" s="760" t="s">
        <v>3123</v>
      </c>
      <c r="C85" s="1279">
        <f>'Part VII-Pro Forma'!K71</f>
        <v>1664513.9517279672</v>
      </c>
      <c r="D85" s="824" t="s">
        <v>3443</v>
      </c>
      <c r="I85" s="697"/>
    </row>
    <row r="86" spans="1:9" ht="3" customHeight="1">
      <c r="C86" s="697" t="s">
        <v>1749</v>
      </c>
      <c r="D86" s="697"/>
      <c r="E86" s="697"/>
      <c r="I86" s="697"/>
    </row>
    <row r="87" spans="1:9" ht="12" customHeight="1">
      <c r="A87" s="760" t="s">
        <v>3124</v>
      </c>
      <c r="B87" s="825"/>
      <c r="C87" s="1280" t="s">
        <v>1749</v>
      </c>
      <c r="D87" s="1285"/>
      <c r="I87" s="697"/>
    </row>
    <row r="88" spans="1:9" ht="3" customHeight="1">
      <c r="G88" s="697"/>
      <c r="H88" s="697"/>
      <c r="I88" s="697"/>
    </row>
    <row r="89" spans="1:9" ht="12" customHeight="1">
      <c r="A89" s="760" t="s">
        <v>3125</v>
      </c>
      <c r="C89" s="815" t="s">
        <v>3126</v>
      </c>
      <c r="D89" s="803" t="s">
        <v>3055</v>
      </c>
      <c r="I89" s="697"/>
    </row>
    <row r="90" spans="1:9" ht="12" customHeight="1">
      <c r="C90" s="815" t="s">
        <v>3127</v>
      </c>
      <c r="D90" s="803" t="s">
        <v>957</v>
      </c>
      <c r="I90" s="697"/>
    </row>
    <row r="91" spans="1:9" ht="3" customHeight="1">
      <c r="G91" s="697"/>
      <c r="H91" s="697"/>
      <c r="I91" s="697"/>
    </row>
    <row r="92" spans="1:9" ht="12" customHeight="1">
      <c r="A92" s="760" t="s">
        <v>3128</v>
      </c>
      <c r="C92" s="815" t="s">
        <v>3117</v>
      </c>
      <c r="D92" s="697" t="s">
        <v>3129</v>
      </c>
      <c r="E92" s="815" t="str">
        <f>'Part III-Sources of Funds'!H20</f>
        <v>Bank of America</v>
      </c>
      <c r="I92" s="697"/>
    </row>
    <row r="93" spans="1:9" ht="12" customHeight="1">
      <c r="C93" s="829"/>
      <c r="D93" s="697"/>
      <c r="E93" s="815" t="s">
        <v>1775</v>
      </c>
      <c r="F93" s="3890"/>
      <c r="G93" s="3890"/>
      <c r="H93" s="3890"/>
      <c r="I93" s="697"/>
    </row>
    <row r="94" spans="1:9" ht="12" customHeight="1">
      <c r="C94" s="815"/>
      <c r="D94" s="697"/>
      <c r="E94" s="815" t="s">
        <v>1956</v>
      </c>
      <c r="F94" s="3891"/>
      <c r="G94" s="3891"/>
      <c r="H94" s="3891"/>
      <c r="I94" s="697"/>
    </row>
    <row r="95" spans="1:9" ht="12" customHeight="1">
      <c r="C95" s="815"/>
      <c r="D95" s="697"/>
      <c r="E95" s="815" t="s">
        <v>1777</v>
      </c>
      <c r="F95" s="3892"/>
      <c r="G95" s="3892"/>
      <c r="H95" s="3892"/>
      <c r="I95" s="697"/>
    </row>
    <row r="96" spans="1:9" ht="12" customHeight="1">
      <c r="B96" s="805"/>
      <c r="C96" s="818" t="s">
        <v>3274</v>
      </c>
      <c r="D96" s="697" t="s">
        <v>3129</v>
      </c>
      <c r="E96" s="815" t="str">
        <f>'Part III-Sources of Funds'!E38</f>
        <v>Bank of America</v>
      </c>
      <c r="I96" s="697"/>
    </row>
    <row r="97" spans="1:10" ht="12" customHeight="1">
      <c r="C97" s="815"/>
      <c r="D97" s="697"/>
      <c r="E97" s="815" t="s">
        <v>1775</v>
      </c>
      <c r="F97" s="3890"/>
      <c r="G97" s="3890"/>
      <c r="H97" s="3890"/>
      <c r="I97" s="697"/>
    </row>
    <row r="98" spans="1:10" ht="12" customHeight="1">
      <c r="C98" s="815"/>
      <c r="D98" s="697"/>
      <c r="E98" s="815" t="s">
        <v>1956</v>
      </c>
      <c r="F98" s="3891"/>
      <c r="G98" s="3891"/>
      <c r="H98" s="3891"/>
      <c r="I98" s="697"/>
    </row>
    <row r="99" spans="1:10" ht="12" customHeight="1">
      <c r="C99" s="815"/>
      <c r="D99" s="697"/>
      <c r="E99" s="815" t="s">
        <v>1777</v>
      </c>
      <c r="F99" s="3892"/>
      <c r="G99" s="3892"/>
      <c r="H99" s="3892"/>
      <c r="I99" s="697"/>
    </row>
    <row r="100" spans="1:10" ht="3" customHeight="1">
      <c r="D100" s="826"/>
      <c r="G100" s="697"/>
      <c r="H100" s="697"/>
      <c r="I100" s="697"/>
    </row>
    <row r="101" spans="1:10" ht="12" customHeight="1">
      <c r="A101" s="760" t="s">
        <v>3130</v>
      </c>
      <c r="D101" s="1327">
        <f>'Part IX Scoring Criteria'!O333</f>
        <v>0</v>
      </c>
      <c r="E101" s="697" t="s">
        <v>3110</v>
      </c>
      <c r="G101" s="760">
        <f>'Part IX Scoring Criteria'!O329</f>
        <v>4</v>
      </c>
      <c r="H101" s="760" t="s">
        <v>3444</v>
      </c>
      <c r="I101" s="697"/>
    </row>
    <row r="102" spans="1:10" ht="3" customHeight="1">
      <c r="E102" s="697"/>
      <c r="F102" s="697"/>
      <c r="I102" s="697"/>
    </row>
    <row r="103" spans="1:10" ht="12" customHeight="1">
      <c r="A103" s="697" t="s">
        <v>3275</v>
      </c>
      <c r="D103" s="760" t="s">
        <v>957</v>
      </c>
      <c r="E103" s="697"/>
      <c r="I103" s="697"/>
    </row>
    <row r="104" spans="1:10" ht="6" customHeight="1">
      <c r="G104" s="697"/>
      <c r="H104" s="697"/>
      <c r="I104" s="697"/>
    </row>
    <row r="105" spans="1:10" ht="12" customHeight="1">
      <c r="A105" s="801" t="s">
        <v>3276</v>
      </c>
      <c r="I105" s="697"/>
    </row>
    <row r="106" spans="1:10" ht="12" customHeight="1">
      <c r="A106" s="760" t="s">
        <v>3131</v>
      </c>
      <c r="C106" s="1284" t="s">
        <v>1749</v>
      </c>
      <c r="D106" s="3893"/>
      <c r="E106" s="3893"/>
      <c r="F106" s="3893"/>
      <c r="G106" s="3893"/>
      <c r="H106" s="3893"/>
      <c r="I106" s="3893"/>
      <c r="J106" s="3894"/>
    </row>
    <row r="107" spans="1:10" ht="3" customHeight="1">
      <c r="C107" s="815"/>
      <c r="D107" s="697"/>
      <c r="I107" s="697"/>
    </row>
    <row r="108" spans="1:10" ht="12" customHeight="1">
      <c r="A108" s="760" t="s">
        <v>3132</v>
      </c>
      <c r="C108" s="1327" t="s">
        <v>1749</v>
      </c>
    </row>
    <row r="109" spans="1:10" ht="3" customHeight="1">
      <c r="C109" s="815"/>
      <c r="E109" s="697"/>
      <c r="F109" s="697"/>
      <c r="I109" s="697"/>
    </row>
    <row r="110" spans="1:10" ht="12" customHeight="1">
      <c r="A110" s="760" t="s">
        <v>3133</v>
      </c>
      <c r="C110" s="1327" t="s">
        <v>1749</v>
      </c>
      <c r="I110" s="697"/>
    </row>
    <row r="111" spans="1:10" ht="3" customHeight="1">
      <c r="D111" s="808"/>
      <c r="I111" s="697"/>
    </row>
    <row r="112" spans="1:10" ht="12" customHeight="1">
      <c r="A112" s="760" t="s">
        <v>3134</v>
      </c>
      <c r="D112" s="821">
        <v>24</v>
      </c>
      <c r="E112" s="697" t="s">
        <v>3135</v>
      </c>
      <c r="I112" s="697"/>
    </row>
    <row r="113" spans="1:10" ht="12" customHeight="1">
      <c r="C113" s="803" t="s">
        <v>4053</v>
      </c>
      <c r="I113" s="697"/>
    </row>
    <row r="114" spans="1:10" ht="12" customHeight="1">
      <c r="C114" s="803" t="s">
        <v>4052</v>
      </c>
      <c r="G114" s="697"/>
      <c r="I114" s="697"/>
    </row>
    <row r="115" spans="1:10" ht="3" customHeight="1">
      <c r="G115" s="697"/>
      <c r="H115" s="697"/>
      <c r="I115" s="697"/>
    </row>
    <row r="116" spans="1:10" ht="12" customHeight="1">
      <c r="A116" s="760" t="s">
        <v>3136</v>
      </c>
      <c r="D116" s="827">
        <v>0</v>
      </c>
      <c r="E116" s="828" t="s">
        <v>3137</v>
      </c>
      <c r="I116" s="697"/>
    </row>
    <row r="117" spans="1:10" ht="3" customHeight="1">
      <c r="D117" s="815"/>
      <c r="E117" s="697"/>
      <c r="F117" s="697"/>
      <c r="I117" s="697"/>
    </row>
    <row r="118" spans="1:10" ht="12" customHeight="1">
      <c r="A118" s="760" t="s">
        <v>3138</v>
      </c>
      <c r="C118" s="1280" t="s">
        <v>1749</v>
      </c>
      <c r="D118" s="829"/>
      <c r="I118" s="697"/>
    </row>
    <row r="119" spans="1:10" ht="12" customHeight="1">
      <c r="C119" s="697" t="s">
        <v>3139</v>
      </c>
      <c r="D119" s="819"/>
      <c r="E119" s="3897" t="s">
        <v>4054</v>
      </c>
      <c r="F119" s="3897"/>
      <c r="G119" s="3897"/>
      <c r="H119" s="3897"/>
      <c r="I119" s="3897"/>
      <c r="J119" s="3897"/>
    </row>
    <row r="120" spans="1:10" ht="12" customHeight="1">
      <c r="C120" s="697" t="s">
        <v>3140</v>
      </c>
      <c r="D120" s="1286"/>
      <c r="E120" s="3897"/>
      <c r="F120" s="3897"/>
      <c r="G120" s="3897"/>
      <c r="H120" s="3897"/>
      <c r="I120" s="3897"/>
      <c r="J120" s="3897"/>
    </row>
    <row r="121" spans="1:10" ht="12" customHeight="1">
      <c r="C121" s="697" t="s">
        <v>3141</v>
      </c>
      <c r="D121" s="1286"/>
      <c r="E121" s="3897"/>
      <c r="F121" s="3897"/>
      <c r="G121" s="3897"/>
      <c r="H121" s="3897"/>
      <c r="I121" s="3897"/>
      <c r="J121" s="3897"/>
    </row>
    <row r="122" spans="1:10" ht="3" customHeight="1">
      <c r="E122" s="697"/>
      <c r="F122" s="697"/>
      <c r="I122" s="697"/>
    </row>
    <row r="123" spans="1:10" ht="12" customHeight="1">
      <c r="A123" s="760" t="s">
        <v>3142</v>
      </c>
      <c r="D123" s="830" t="s">
        <v>3110</v>
      </c>
      <c r="I123" s="697"/>
    </row>
    <row r="124" spans="1:10" ht="3" customHeight="1">
      <c r="D124" s="697"/>
      <c r="I124" s="697"/>
    </row>
    <row r="125" spans="1:10" ht="12" customHeight="1">
      <c r="A125" s="760" t="s">
        <v>3143</v>
      </c>
      <c r="D125" s="697" t="s">
        <v>3110</v>
      </c>
      <c r="I125" s="697"/>
    </row>
    <row r="126" spans="1:10" ht="3" customHeight="1">
      <c r="G126" s="697"/>
      <c r="H126" s="697"/>
      <c r="I126" s="697"/>
    </row>
    <row r="127" spans="1:10" ht="12" customHeight="1">
      <c r="A127" s="760" t="s">
        <v>3144</v>
      </c>
      <c r="D127" s="697" t="s">
        <v>3145</v>
      </c>
      <c r="G127" s="697"/>
      <c r="I127" s="697"/>
    </row>
    <row r="128" spans="1:10" ht="7.5" customHeight="1">
      <c r="G128" s="697"/>
      <c r="H128" s="697"/>
      <c r="I128" s="697"/>
    </row>
    <row r="129" spans="1:10" ht="12" customHeight="1">
      <c r="A129" s="801" t="s">
        <v>3146</v>
      </c>
      <c r="G129" s="697"/>
      <c r="H129" s="697"/>
      <c r="I129" s="697"/>
    </row>
    <row r="130" spans="1:10" ht="12" customHeight="1">
      <c r="A130" s="760" t="s">
        <v>3147</v>
      </c>
      <c r="C130" s="803" t="str">
        <f>Overview!H11</f>
        <v>Pennrose LLC</v>
      </c>
      <c r="D130" s="803" t="str">
        <f>Overview!K11</f>
        <v xml:space="preserve">FCS Urban Ministries, Inc. </v>
      </c>
      <c r="G130" s="803">
        <f>Overview!M11</f>
        <v>0</v>
      </c>
      <c r="I130" s="697"/>
    </row>
    <row r="131" spans="1:10" ht="12" customHeight="1">
      <c r="G131" s="697"/>
      <c r="I131" s="697"/>
    </row>
    <row r="132" spans="1:10" ht="3" customHeight="1">
      <c r="C132" s="697"/>
      <c r="G132" s="697"/>
      <c r="I132" s="697"/>
    </row>
    <row r="133" spans="1:10" ht="12" customHeight="1">
      <c r="A133" s="760" t="s">
        <v>3148</v>
      </c>
      <c r="C133" s="831">
        <f>('Part IV-A-Uses of Funds'!G118-'Part III-Sources of Funds'!I43)/2</f>
        <v>900000</v>
      </c>
      <c r="G133" s="697"/>
      <c r="I133" s="697"/>
    </row>
    <row r="134" spans="1:10" ht="3" customHeight="1">
      <c r="C134" s="697"/>
      <c r="G134" s="697"/>
      <c r="I134" s="697"/>
    </row>
    <row r="135" spans="1:10" ht="12" customHeight="1">
      <c r="A135" s="760" t="s">
        <v>3149</v>
      </c>
      <c r="C135" s="1327" t="s">
        <v>3150</v>
      </c>
      <c r="G135" s="697"/>
      <c r="I135" s="697"/>
    </row>
    <row r="136" spans="1:10" ht="3" customHeight="1">
      <c r="C136" s="803"/>
      <c r="G136" s="697"/>
      <c r="I136" s="697"/>
    </row>
    <row r="137" spans="1:10" ht="12" customHeight="1">
      <c r="A137" s="760" t="s">
        <v>3151</v>
      </c>
      <c r="C137" s="803" t="str">
        <f>'Preview term'!E19</f>
        <v>LEDIC Management Group, LLC</v>
      </c>
      <c r="G137" s="697"/>
      <c r="I137" s="697"/>
      <c r="J137" s="832"/>
    </row>
    <row r="138" spans="1:10" ht="3" customHeight="1">
      <c r="C138" s="803"/>
      <c r="G138" s="697"/>
      <c r="I138" s="697"/>
    </row>
    <row r="139" spans="1:10" ht="12" customHeight="1">
      <c r="A139" s="760" t="s">
        <v>3152</v>
      </c>
      <c r="C139" s="804" t="str">
        <f>C8</f>
        <v>Haven SA LLC</v>
      </c>
      <c r="G139" s="697"/>
      <c r="I139" s="802"/>
      <c r="J139" s="833"/>
    </row>
    <row r="140" spans="1:10" ht="3" customHeight="1">
      <c r="C140" s="804"/>
      <c r="G140" s="697"/>
      <c r="I140" s="802"/>
      <c r="J140" s="833"/>
    </row>
    <row r="141" spans="1:10" ht="12" customHeight="1">
      <c r="A141" s="760" t="s">
        <v>3153</v>
      </c>
      <c r="C141" s="804" t="str">
        <f>C18</f>
        <v>230 Wyoming Avenue</v>
      </c>
      <c r="G141" s="697"/>
      <c r="I141" s="802"/>
      <c r="J141" s="833"/>
    </row>
    <row r="142" spans="1:10">
      <c r="C142" s="804" t="str">
        <f>C19</f>
        <v>Kingston, PA 18704</v>
      </c>
      <c r="G142" s="697"/>
      <c r="I142" s="802"/>
      <c r="J142" s="833"/>
    </row>
    <row r="143" spans="1:10" ht="3" customHeight="1">
      <c r="C143" s="834"/>
      <c r="G143" s="697"/>
      <c r="I143" s="802"/>
      <c r="J143" s="833"/>
    </row>
    <row r="144" spans="1:10" ht="12" customHeight="1">
      <c r="A144" s="760" t="s">
        <v>3154</v>
      </c>
      <c r="C144" s="804" t="str">
        <f>Overview!H10</f>
        <v>RBC Capital Markets</v>
      </c>
      <c r="G144" s="697"/>
      <c r="I144" s="802"/>
      <c r="J144" s="832"/>
    </row>
    <row r="145" spans="1:10" ht="3" customHeight="1">
      <c r="C145" s="804"/>
      <c r="G145" s="697"/>
      <c r="I145" s="802"/>
      <c r="J145" s="833"/>
    </row>
    <row r="146" spans="1:10" ht="12" customHeight="1">
      <c r="A146" s="760" t="s">
        <v>3155</v>
      </c>
      <c r="C146" s="804" t="str">
        <f>Overview!K10</f>
        <v>RBC Capital Markets</v>
      </c>
      <c r="G146" s="697"/>
      <c r="I146" s="802"/>
      <c r="J146" s="832"/>
    </row>
    <row r="147" spans="1:10" ht="3" customHeight="1">
      <c r="C147" s="834"/>
      <c r="G147" s="697"/>
      <c r="I147" s="802"/>
      <c r="J147" s="833"/>
    </row>
    <row r="148" spans="1:10" ht="12" customHeight="1">
      <c r="A148" s="760" t="s">
        <v>3156</v>
      </c>
      <c r="C148" s="835" t="s">
        <v>3110</v>
      </c>
      <c r="G148" s="697"/>
      <c r="I148" s="697"/>
    </row>
    <row r="149" spans="1:10" ht="3" customHeight="1">
      <c r="C149" s="835"/>
      <c r="G149" s="697"/>
      <c r="I149" s="697"/>
    </row>
    <row r="150" spans="1:10" ht="12" customHeight="1">
      <c r="A150" s="760" t="s">
        <v>3157</v>
      </c>
      <c r="C150" s="835" t="s">
        <v>3110</v>
      </c>
      <c r="G150" s="697"/>
      <c r="I150" s="697"/>
    </row>
    <row r="151" spans="1:10" ht="7.5" customHeight="1">
      <c r="G151" s="697"/>
      <c r="H151" s="697"/>
      <c r="I151" s="697"/>
    </row>
    <row r="152" spans="1:10" ht="12" customHeight="1">
      <c r="A152" s="801" t="s">
        <v>3158</v>
      </c>
      <c r="G152" s="697"/>
      <c r="H152" s="697"/>
      <c r="I152" s="697"/>
    </row>
    <row r="153" spans="1:10" ht="3" customHeight="1">
      <c r="D153" s="697"/>
      <c r="E153" s="697"/>
      <c r="G153" s="697"/>
    </row>
    <row r="154" spans="1:10" ht="12" customHeight="1">
      <c r="A154" s="760" t="s">
        <v>3159</v>
      </c>
      <c r="C154" s="697" t="s">
        <v>3446</v>
      </c>
      <c r="D154" s="697"/>
      <c r="G154" s="697"/>
      <c r="H154" s="697"/>
      <c r="I154" s="697"/>
    </row>
    <row r="155" spans="1:10" ht="3" customHeight="1">
      <c r="D155" s="697"/>
      <c r="E155" s="697"/>
      <c r="G155" s="697"/>
    </row>
    <row r="156" spans="1:10" ht="12" customHeight="1">
      <c r="A156" s="760" t="s">
        <v>3160</v>
      </c>
      <c r="D156" s="1327">
        <v>20</v>
      </c>
      <c r="E156" s="697" t="s">
        <v>2378</v>
      </c>
    </row>
    <row r="157" spans="1:10" ht="3" customHeight="1">
      <c r="D157" s="697"/>
      <c r="E157" s="697"/>
      <c r="G157" s="697"/>
    </row>
    <row r="158" spans="1:10" ht="12" customHeight="1">
      <c r="A158" s="760" t="s">
        <v>3161</v>
      </c>
      <c r="C158" s="1280" t="s">
        <v>1749</v>
      </c>
      <c r="D158" s="697" t="s">
        <v>3493</v>
      </c>
      <c r="G158" s="697"/>
    </row>
    <row r="159" spans="1:10" ht="3" customHeight="1">
      <c r="G159" s="697"/>
      <c r="H159" s="697"/>
      <c r="I159" s="697"/>
    </row>
    <row r="160" spans="1:10" ht="12" customHeight="1">
      <c r="A160" s="760" t="s">
        <v>3162</v>
      </c>
      <c r="G160" s="697"/>
      <c r="H160" s="697"/>
      <c r="I160" s="697"/>
    </row>
    <row r="161" spans="1:13" ht="7.5" customHeight="1">
      <c r="G161" s="697"/>
      <c r="H161" s="697"/>
      <c r="I161" s="697"/>
    </row>
    <row r="162" spans="1:13" ht="12" customHeight="1">
      <c r="A162" s="801" t="s">
        <v>3163</v>
      </c>
      <c r="G162" s="697"/>
      <c r="H162" s="697"/>
      <c r="I162" s="697"/>
    </row>
    <row r="163" spans="1:13" ht="12" customHeight="1">
      <c r="A163" s="760" t="s">
        <v>3266</v>
      </c>
      <c r="C163" s="760" t="s">
        <v>3267</v>
      </c>
      <c r="E163" s="823">
        <f>'Preview term'!F77</f>
        <v>0</v>
      </c>
      <c r="G163" s="697"/>
      <c r="I163" s="697"/>
    </row>
    <row r="164" spans="1:13" ht="12" customHeight="1">
      <c r="C164" s="760" t="s">
        <v>3447</v>
      </c>
      <c r="E164" s="3895"/>
      <c r="F164" s="3895"/>
      <c r="G164" s="3895"/>
      <c r="I164" s="697"/>
    </row>
    <row r="165" spans="1:13" ht="3" customHeight="1">
      <c r="E165" s="697"/>
      <c r="G165" s="697"/>
      <c r="I165" s="697"/>
    </row>
    <row r="166" spans="1:13" ht="12" customHeight="1">
      <c r="A166" s="760" t="s">
        <v>3164</v>
      </c>
      <c r="C166" s="760" t="s">
        <v>3165</v>
      </c>
      <c r="E166" s="836">
        <f>'Preview term'!F71</f>
        <v>333359</v>
      </c>
      <c r="G166" s="697"/>
      <c r="I166" s="697"/>
    </row>
    <row r="167" spans="1:13" ht="12" customHeight="1">
      <c r="C167" s="760" t="s">
        <v>3447</v>
      </c>
      <c r="E167" s="3895"/>
      <c r="F167" s="3895"/>
      <c r="G167" s="3895"/>
      <c r="I167" s="697"/>
    </row>
    <row r="168" spans="1:13" ht="12" customHeight="1">
      <c r="C168" s="760" t="s">
        <v>3166</v>
      </c>
      <c r="E168" s="803" t="s">
        <v>2774</v>
      </c>
      <c r="G168" s="697"/>
      <c r="I168" s="697"/>
    </row>
    <row r="169" spans="1:13" ht="3" customHeight="1">
      <c r="E169" s="803"/>
      <c r="G169" s="697"/>
      <c r="I169" s="697"/>
    </row>
    <row r="170" spans="1:13" ht="12" customHeight="1">
      <c r="A170" s="760" t="s">
        <v>3268</v>
      </c>
      <c r="C170" s="760" t="s">
        <v>3269</v>
      </c>
      <c r="E170" s="836">
        <f>'Preview term'!F73</f>
        <v>0</v>
      </c>
      <c r="G170" s="697"/>
      <c r="I170" s="697"/>
    </row>
    <row r="171" spans="1:13" ht="12" customHeight="1">
      <c r="C171" s="760" t="s">
        <v>3167</v>
      </c>
      <c r="E171" s="836">
        <f>'Preview term'!F73</f>
        <v>0</v>
      </c>
      <c r="G171" s="697"/>
      <c r="I171" s="802"/>
      <c r="J171" s="833"/>
      <c r="K171" s="833"/>
      <c r="L171" s="833"/>
      <c r="M171" s="833"/>
    </row>
    <row r="172" spans="1:13" ht="12" customHeight="1">
      <c r="C172" s="760" t="s">
        <v>3168</v>
      </c>
      <c r="E172" s="831">
        <f>'Part VI-Revenues &amp; Expenses'!P230</f>
        <v>21000</v>
      </c>
      <c r="F172" s="802" t="s">
        <v>3169</v>
      </c>
      <c r="J172" s="833"/>
      <c r="K172" s="833"/>
      <c r="L172" s="833"/>
      <c r="M172" s="833"/>
    </row>
    <row r="173" spans="1:13">
      <c r="E173" s="836">
        <f>E172/12</f>
        <v>1750</v>
      </c>
      <c r="F173" s="697" t="s">
        <v>3021</v>
      </c>
    </row>
    <row r="174" spans="1:13" ht="12" customHeight="1">
      <c r="C174" s="760" t="s">
        <v>3448</v>
      </c>
      <c r="E174" s="3895"/>
      <c r="F174" s="3895"/>
      <c r="G174" s="3895"/>
      <c r="I174" s="697"/>
    </row>
    <row r="175" spans="1:13" ht="12" customHeight="1">
      <c r="C175" s="760" t="s">
        <v>3170</v>
      </c>
      <c r="E175" s="697" t="s">
        <v>2933</v>
      </c>
      <c r="I175" s="697"/>
    </row>
    <row r="176" spans="1:13" ht="12" customHeight="1">
      <c r="C176" s="760" t="s">
        <v>3171</v>
      </c>
      <c r="E176" s="697" t="s">
        <v>2774</v>
      </c>
      <c r="I176" s="697"/>
    </row>
    <row r="177" spans="1:10" ht="3" customHeight="1">
      <c r="E177" s="697"/>
      <c r="F177" s="697"/>
      <c r="I177" s="697"/>
    </row>
    <row r="178" spans="1:10" ht="12" customHeight="1">
      <c r="A178" s="760" t="s">
        <v>3264</v>
      </c>
      <c r="C178" s="760" t="s">
        <v>3265</v>
      </c>
      <c r="E178" s="823" t="s">
        <v>1749</v>
      </c>
      <c r="F178" s="837"/>
      <c r="I178" s="697"/>
    </row>
    <row r="179" spans="1:10" ht="12" customHeight="1">
      <c r="C179" s="760" t="s">
        <v>3172</v>
      </c>
      <c r="E179" s="823" t="s">
        <v>1749</v>
      </c>
      <c r="F179" s="3895"/>
      <c r="G179" s="3895"/>
      <c r="H179" s="3895"/>
      <c r="I179" s="3895"/>
      <c r="J179" s="3895"/>
    </row>
    <row r="180" spans="1:10" ht="12" customHeight="1">
      <c r="C180" s="760" t="s">
        <v>3449</v>
      </c>
      <c r="E180" s="697" t="s">
        <v>3110</v>
      </c>
      <c r="I180" s="697"/>
    </row>
    <row r="181" spans="1:10" ht="12" customHeight="1">
      <c r="C181" s="760" t="s">
        <v>3173</v>
      </c>
      <c r="E181" s="697" t="s">
        <v>2774</v>
      </c>
      <c r="I181" s="697"/>
    </row>
    <row r="182" spans="1:10" ht="3" customHeight="1">
      <c r="G182" s="697"/>
      <c r="H182" s="697"/>
      <c r="I182" s="697"/>
    </row>
    <row r="183" spans="1:10" ht="12" customHeight="1">
      <c r="A183" s="760" t="s">
        <v>3270</v>
      </c>
      <c r="C183" s="760" t="s">
        <v>3271</v>
      </c>
      <c r="E183" s="836">
        <f>'Preview term'!F75</f>
        <v>114043</v>
      </c>
      <c r="G183" s="697"/>
      <c r="I183" s="697"/>
    </row>
    <row r="184" spans="1:10" ht="12" customHeight="1">
      <c r="C184" s="760" t="s">
        <v>3447</v>
      </c>
      <c r="E184" s="803">
        <f>E167</f>
        <v>0</v>
      </c>
      <c r="G184" s="697"/>
      <c r="I184" s="697"/>
    </row>
    <row r="185" spans="1:10" ht="12" customHeight="1">
      <c r="C185" s="760" t="s">
        <v>3174</v>
      </c>
      <c r="E185" s="803" t="s">
        <v>3110</v>
      </c>
      <c r="G185" s="697"/>
      <c r="I185" s="697"/>
    </row>
    <row r="186" spans="1:10" ht="3" customHeight="1">
      <c r="E186" s="803"/>
      <c r="G186" s="697"/>
      <c r="I186" s="697"/>
    </row>
    <row r="187" spans="1:10" ht="12" customHeight="1">
      <c r="A187" s="760" t="s">
        <v>3272</v>
      </c>
      <c r="C187" s="760" t="s">
        <v>3273</v>
      </c>
      <c r="E187" s="803" t="s">
        <v>3110</v>
      </c>
      <c r="G187" s="697"/>
      <c r="I187" s="697"/>
    </row>
    <row r="188" spans="1:10" ht="12" customHeight="1">
      <c r="C188" s="760" t="s">
        <v>3165</v>
      </c>
      <c r="E188" s="815"/>
      <c r="G188" s="697"/>
      <c r="H188" s="822"/>
      <c r="I188" s="697"/>
    </row>
    <row r="189" spans="1:10" ht="12" customHeight="1">
      <c r="C189" s="760" t="s">
        <v>3447</v>
      </c>
      <c r="E189" s="815"/>
      <c r="I189" s="803"/>
    </row>
    <row r="190" spans="1:10" ht="12" customHeight="1">
      <c r="C190" s="760" t="s">
        <v>3166</v>
      </c>
      <c r="E190" s="815"/>
      <c r="G190" s="697"/>
      <c r="H190" s="697"/>
      <c r="I190" s="697"/>
    </row>
    <row r="191" spans="1:10" ht="9" customHeight="1">
      <c r="G191" s="697"/>
      <c r="H191" s="697"/>
      <c r="I191" s="697"/>
    </row>
    <row r="192" spans="1:10" ht="12" customHeight="1">
      <c r="A192" s="801" t="s">
        <v>3175</v>
      </c>
      <c r="C192" s="697" t="s">
        <v>3176</v>
      </c>
      <c r="E192" s="697"/>
      <c r="I192" s="697"/>
    </row>
    <row r="193" spans="1:10" ht="9" customHeight="1">
      <c r="E193" s="697"/>
      <c r="F193" s="697"/>
      <c r="I193" s="697"/>
    </row>
    <row r="194" spans="1:10" ht="12" customHeight="1">
      <c r="A194" s="801" t="s">
        <v>3177</v>
      </c>
      <c r="E194" s="697"/>
      <c r="F194" s="697"/>
      <c r="I194" s="697"/>
    </row>
    <row r="195" spans="1:10" ht="12" customHeight="1">
      <c r="A195" s="760" t="s">
        <v>3178</v>
      </c>
      <c r="C195" s="1276" t="s">
        <v>1749</v>
      </c>
      <c r="E195" s="697"/>
      <c r="F195" s="697"/>
      <c r="I195" s="697"/>
    </row>
    <row r="196" spans="1:10" ht="3" customHeight="1">
      <c r="G196" s="697"/>
      <c r="H196" s="697"/>
      <c r="I196" s="697"/>
    </row>
    <row r="197" spans="1:10">
      <c r="A197" s="809" t="s">
        <v>3451</v>
      </c>
      <c r="B197" s="809"/>
      <c r="C197" s="809"/>
      <c r="D197" s="809"/>
      <c r="E197" s="814" t="s">
        <v>3450</v>
      </c>
      <c r="F197" s="3896">
        <f>'Part VIII-Threshold Criteria'!E400</f>
        <v>0</v>
      </c>
      <c r="G197" s="3896"/>
      <c r="H197" s="3896"/>
      <c r="I197" s="3896"/>
      <c r="J197" s="3896"/>
    </row>
    <row r="198" spans="1:10" ht="9" customHeight="1">
      <c r="G198" s="697"/>
      <c r="H198" s="697"/>
      <c r="I198" s="697"/>
    </row>
    <row r="199" spans="1:10" ht="12" customHeight="1">
      <c r="A199" s="838" t="s">
        <v>3263</v>
      </c>
      <c r="G199" s="697"/>
      <c r="H199" s="697"/>
      <c r="I199" s="822"/>
    </row>
    <row r="200" spans="1:10" ht="25.5" hidden="1" customHeight="1">
      <c r="A200" s="3898" t="str">
        <f>'Subsidy Layering Memo'!A98</f>
        <v>Include any reserve requirements; explain any reserves far in excess of 6 month ODR, 3 mo lease up, 1 year RR, 6 mo T&amp;I standards.</v>
      </c>
      <c r="B200" s="3898"/>
      <c r="C200" s="3898"/>
      <c r="D200" s="3898"/>
      <c r="E200" s="3898"/>
      <c r="F200" s="3898"/>
      <c r="G200" s="3898"/>
      <c r="H200" s="3898"/>
      <c r="I200" s="3898"/>
      <c r="J200" s="3898"/>
    </row>
    <row r="201" spans="1:10">
      <c r="A201" s="697"/>
      <c r="G201" s="697"/>
      <c r="H201" s="697"/>
      <c r="I201" s="697"/>
    </row>
    <row r="202" spans="1:10">
      <c r="A202" s="801" t="s">
        <v>3179</v>
      </c>
      <c r="G202" s="697"/>
      <c r="H202" s="697"/>
      <c r="I202" s="697"/>
    </row>
    <row r="203" spans="1:10" ht="3" customHeight="1">
      <c r="G203" s="697"/>
      <c r="H203" s="697"/>
      <c r="I203" s="697"/>
    </row>
    <row r="204" spans="1:10" ht="76.5" customHeight="1">
      <c r="A204" s="3888" t="s">
        <v>2886</v>
      </c>
      <c r="B204" s="3888"/>
      <c r="C204" s="3888"/>
      <c r="D204" s="3888"/>
      <c r="E204" s="3888"/>
      <c r="F204" s="3888"/>
      <c r="G204" s="3888"/>
      <c r="H204" s="3888"/>
      <c r="I204" s="3888"/>
      <c r="J204" s="3888"/>
    </row>
    <row r="205" spans="1:10">
      <c r="A205" s="697" t="s">
        <v>2887</v>
      </c>
      <c r="G205" s="697"/>
      <c r="H205" s="697"/>
      <c r="I205" s="697"/>
    </row>
    <row r="206" spans="1:10" ht="38.25" customHeight="1">
      <c r="A206" s="3888" t="str">
        <f>'Subsidy Layering Memo'!A37&amp;".  "&amp;'Subsidy Layering Memo'!A38</f>
        <v xml:space="preserve">.  </v>
      </c>
      <c r="B206" s="3889"/>
      <c r="C206" s="3889"/>
      <c r="D206" s="3889"/>
      <c r="E206" s="3889"/>
      <c r="F206" s="3889"/>
      <c r="G206" s="3889"/>
      <c r="H206" s="3889"/>
      <c r="I206" s="3889"/>
      <c r="J206" s="3889"/>
    </row>
    <row r="207" spans="1:10">
      <c r="A207" s="803"/>
    </row>
    <row r="208" spans="1:10">
      <c r="A208" s="803"/>
    </row>
    <row r="209" spans="1:4">
      <c r="A209" s="697"/>
    </row>
    <row r="213" spans="1:4">
      <c r="D213" s="760" t="s">
        <v>240</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760" customWidth="1"/>
    <col min="2" max="2" width="4.109375" style="760" customWidth="1"/>
    <col min="3" max="3" width="18.5546875" style="760" customWidth="1"/>
    <col min="4" max="4" width="2.88671875" style="760" customWidth="1"/>
    <col min="5" max="5" width="6.5546875" style="760" customWidth="1"/>
    <col min="6" max="6" width="39.109375" style="760" customWidth="1"/>
    <col min="7" max="8" width="8.44140625" style="760" customWidth="1"/>
    <col min="9" max="9" width="9.109375" style="760"/>
    <col min="10" max="10" width="14.109375" style="760" customWidth="1"/>
    <col min="11" max="16384" width="9.109375" style="760"/>
  </cols>
  <sheetData>
    <row r="1" spans="1:11">
      <c r="A1" s="697" t="s">
        <v>3180</v>
      </c>
      <c r="H1" s="805" t="str">
        <f>Overview!C8</f>
        <v>Haven at South Atlanta</v>
      </c>
    </row>
    <row r="2" spans="1:11">
      <c r="A2" s="697" t="s">
        <v>3181</v>
      </c>
      <c r="H2" s="760" t="str">
        <f>Overview!E8</f>
        <v>2019-063</v>
      </c>
    </row>
    <row r="3" spans="1:11" ht="3" customHeight="1"/>
    <row r="4" spans="1:11" ht="51.75" customHeight="1">
      <c r="A4" s="3889" t="s">
        <v>3280</v>
      </c>
      <c r="B4" s="3889"/>
      <c r="C4" s="3889"/>
      <c r="D4" s="3889"/>
      <c r="E4" s="3889"/>
      <c r="F4" s="3889"/>
      <c r="G4" s="3889"/>
      <c r="H4" s="3889"/>
      <c r="J4" s="1299">
        <f>SUM('Part VII-Pro Forma'!B14:B16)/12</f>
        <v>60750.241199999997</v>
      </c>
      <c r="K4" s="1298" t="s">
        <v>4259</v>
      </c>
    </row>
    <row r="5" spans="1:11" ht="1.5" customHeight="1">
      <c r="C5" s="839"/>
      <c r="D5" s="839"/>
      <c r="E5" s="839"/>
      <c r="F5" s="839"/>
      <c r="G5" s="839"/>
      <c r="H5" s="839"/>
    </row>
    <row r="6" spans="1:11" ht="12.75" customHeight="1">
      <c r="B6" s="840" t="s">
        <v>2403</v>
      </c>
      <c r="C6" s="3889" t="s">
        <v>3182</v>
      </c>
      <c r="D6" s="3889"/>
      <c r="E6" s="3889"/>
      <c r="F6" s="3889"/>
      <c r="G6" s="3889"/>
      <c r="H6" s="3889"/>
    </row>
    <row r="7" spans="1:11" ht="12.75" customHeight="1">
      <c r="B7" s="840" t="s">
        <v>2404</v>
      </c>
      <c r="C7" s="3889" t="s">
        <v>3183</v>
      </c>
      <c r="D7" s="3889"/>
      <c r="E7" s="3889"/>
      <c r="F7" s="3889"/>
      <c r="G7" s="3889"/>
      <c r="H7" s="3889"/>
    </row>
    <row r="8" spans="1:11" ht="3" customHeight="1"/>
    <row r="9" spans="1:11">
      <c r="A9" s="760" t="s">
        <v>3184</v>
      </c>
    </row>
    <row r="10" spans="1:11" ht="1.5" customHeight="1"/>
    <row r="11" spans="1:11" ht="26.25" customHeight="1">
      <c r="A11" s="841" t="s">
        <v>1957</v>
      </c>
      <c r="B11" s="3908" t="s">
        <v>3277</v>
      </c>
      <c r="C11" s="3908"/>
      <c r="D11" s="3908"/>
      <c r="E11" s="3908"/>
      <c r="F11" s="3908"/>
      <c r="G11" s="3909">
        <f>'Part III-Sources of Funds'!I49+'Part III-Sources of Funds'!I50</f>
        <v>12272847</v>
      </c>
      <c r="H11" s="3909"/>
    </row>
    <row r="12" spans="1:11" ht="1.5" customHeight="1">
      <c r="G12" s="809"/>
      <c r="H12" s="809"/>
    </row>
    <row r="13" spans="1:11" ht="26.25" customHeight="1">
      <c r="A13" s="841" t="s">
        <v>1959</v>
      </c>
      <c r="B13" s="3908" t="s">
        <v>3278</v>
      </c>
      <c r="C13" s="3908"/>
      <c r="D13" s="3908"/>
      <c r="E13" s="3908"/>
      <c r="F13" s="3908"/>
      <c r="G13" s="3910" t="s">
        <v>3110</v>
      </c>
      <c r="H13" s="3910"/>
    </row>
    <row r="14" spans="1:11" ht="12" hidden="1" customHeight="1">
      <c r="A14" s="841"/>
      <c r="B14" s="3903"/>
      <c r="C14" s="3903"/>
      <c r="D14" s="3903"/>
      <c r="E14" s="3903"/>
      <c r="F14" s="3903"/>
      <c r="G14" s="3903"/>
      <c r="H14" s="3903"/>
    </row>
    <row r="15" spans="1:11" ht="1.5" customHeight="1"/>
    <row r="16" spans="1:11" ht="12" customHeight="1">
      <c r="A16" s="841" t="s">
        <v>738</v>
      </c>
      <c r="B16" s="760" t="s">
        <v>3282</v>
      </c>
      <c r="F16" s="833"/>
      <c r="G16" s="3886" t="s">
        <v>2936</v>
      </c>
      <c r="H16" s="3886"/>
    </row>
    <row r="17" spans="1:8" ht="1.5" customHeight="1">
      <c r="G17" s="815"/>
    </row>
    <row r="18" spans="1:8" ht="12" customHeight="1">
      <c r="A18" s="841" t="s">
        <v>2088</v>
      </c>
      <c r="B18" s="809" t="s">
        <v>3279</v>
      </c>
      <c r="C18" s="841"/>
      <c r="D18" s="841"/>
      <c r="E18" s="841"/>
      <c r="G18" s="3903" t="s">
        <v>2774</v>
      </c>
      <c r="H18" s="3903"/>
    </row>
    <row r="19" spans="1:8" ht="12" hidden="1" customHeight="1">
      <c r="B19" s="3903"/>
      <c r="C19" s="3903"/>
      <c r="D19" s="3903"/>
      <c r="E19" s="3903"/>
      <c r="F19" s="3903"/>
      <c r="G19" s="3903"/>
      <c r="H19" s="3903"/>
    </row>
    <row r="20" spans="1:8" ht="13.5" customHeight="1"/>
    <row r="21" spans="1:8" ht="12" customHeight="1">
      <c r="A21" s="697" t="s">
        <v>3185</v>
      </c>
    </row>
    <row r="22" spans="1:8" ht="3" customHeight="1"/>
    <row r="23" spans="1:8" ht="26.25" customHeight="1">
      <c r="A23" s="3906" t="s">
        <v>3281</v>
      </c>
      <c r="B23" s="3906"/>
      <c r="C23" s="3906"/>
      <c r="D23" s="3906"/>
      <c r="E23" s="3906"/>
      <c r="F23" s="3906"/>
      <c r="G23" s="3906"/>
      <c r="H23" s="3906"/>
    </row>
    <row r="24" spans="1:8" ht="26.25" customHeight="1">
      <c r="A24" s="3907" t="s">
        <v>3186</v>
      </c>
      <c r="B24" s="3907"/>
      <c r="C24" s="3907"/>
      <c r="D24" s="3907"/>
      <c r="E24" s="3907"/>
      <c r="F24" s="3907"/>
      <c r="G24" s="3907"/>
      <c r="H24" s="3907"/>
    </row>
    <row r="25" spans="1:8" ht="9" customHeight="1">
      <c r="A25" s="782"/>
    </row>
    <row r="26" spans="1:8">
      <c r="A26" s="815" t="s">
        <v>3283</v>
      </c>
      <c r="B26" s="842"/>
      <c r="C26" s="815" t="s">
        <v>3284</v>
      </c>
      <c r="D26" s="843" t="s">
        <v>3457</v>
      </c>
    </row>
    <row r="27" spans="1:8" ht="6" customHeight="1"/>
    <row r="28" spans="1:8" ht="12.75" customHeight="1">
      <c r="C28" s="809" t="s">
        <v>3187</v>
      </c>
      <c r="D28" s="844" t="s">
        <v>1960</v>
      </c>
      <c r="E28" s="845"/>
      <c r="F28" s="3889" t="s">
        <v>3188</v>
      </c>
      <c r="G28" s="3889"/>
      <c r="H28" s="3889"/>
    </row>
    <row r="29" spans="1:8" ht="12.75" customHeight="1">
      <c r="C29" s="846" t="s">
        <v>1338</v>
      </c>
      <c r="D29" s="844" t="s">
        <v>1962</v>
      </c>
      <c r="E29" s="3889" t="s">
        <v>3288</v>
      </c>
      <c r="F29" s="3889"/>
      <c r="G29" s="3889"/>
      <c r="H29" s="3889"/>
    </row>
    <row r="30" spans="1:8" ht="12.75" customHeight="1">
      <c r="E30" s="3889" t="s">
        <v>3453</v>
      </c>
      <c r="F30" s="3889"/>
      <c r="G30" s="3889"/>
      <c r="H30" s="3889"/>
    </row>
    <row r="31" spans="1:8" ht="12.75" customHeight="1">
      <c r="D31" s="847" t="s">
        <v>3287</v>
      </c>
      <c r="E31" s="3889" t="s">
        <v>3454</v>
      </c>
      <c r="F31" s="3889"/>
      <c r="G31" s="3889"/>
      <c r="H31" s="3889"/>
    </row>
    <row r="32" spans="1:8" ht="3" customHeight="1">
      <c r="D32" s="844"/>
      <c r="E32" s="1326"/>
      <c r="F32" s="1326"/>
      <c r="G32" s="1326"/>
      <c r="H32" s="1326"/>
    </row>
    <row r="33" spans="1:11">
      <c r="A33" s="815" t="s">
        <v>3283</v>
      </c>
      <c r="B33" s="842"/>
      <c r="C33" s="815" t="s">
        <v>3285</v>
      </c>
      <c r="D33" s="843" t="s">
        <v>3458</v>
      </c>
    </row>
    <row r="34" spans="1:11" ht="4.5" customHeight="1"/>
    <row r="35" spans="1:11" ht="12.75" customHeight="1">
      <c r="C35" s="809" t="s">
        <v>3187</v>
      </c>
      <c r="D35" s="844" t="s">
        <v>1960</v>
      </c>
      <c r="E35" s="845"/>
      <c r="F35" s="3889" t="s">
        <v>3188</v>
      </c>
      <c r="G35" s="3889"/>
      <c r="H35" s="3889"/>
    </row>
    <row r="36" spans="1:11" ht="12.75" customHeight="1">
      <c r="C36" s="846" t="s">
        <v>1338</v>
      </c>
      <c r="D36" s="844" t="s">
        <v>1962</v>
      </c>
      <c r="E36" s="3889" t="s">
        <v>3289</v>
      </c>
      <c r="F36" s="3889"/>
      <c r="G36" s="3889"/>
      <c r="H36" s="3889"/>
    </row>
    <row r="37" spans="1:11" ht="12.75" customHeight="1">
      <c r="E37" s="3889" t="s">
        <v>3453</v>
      </c>
      <c r="F37" s="3889"/>
      <c r="G37" s="3889"/>
      <c r="H37" s="3889"/>
    </row>
    <row r="38" spans="1:11" ht="12.75" customHeight="1">
      <c r="D38" s="847" t="s">
        <v>3287</v>
      </c>
      <c r="E38" s="3889" t="s">
        <v>3454</v>
      </c>
      <c r="F38" s="3889"/>
      <c r="G38" s="3889"/>
      <c r="H38" s="3889"/>
    </row>
    <row r="39" spans="1:11" ht="3" customHeight="1">
      <c r="D39" s="844"/>
      <c r="E39" s="1326"/>
      <c r="F39" s="1326"/>
      <c r="G39" s="1326"/>
      <c r="H39" s="1326"/>
    </row>
    <row r="40" spans="1:11">
      <c r="A40" s="815" t="s">
        <v>3283</v>
      </c>
      <c r="B40" s="842"/>
      <c r="C40" s="815" t="s">
        <v>3286</v>
      </c>
      <c r="D40" s="843" t="s">
        <v>3459</v>
      </c>
    </row>
    <row r="41" spans="1:11" ht="4.5" customHeight="1"/>
    <row r="42" spans="1:11" ht="12.75" customHeight="1">
      <c r="C42" s="809" t="s">
        <v>3187</v>
      </c>
      <c r="D42" s="844" t="s">
        <v>1960</v>
      </c>
      <c r="E42" s="845"/>
      <c r="F42" s="3889" t="s">
        <v>3188</v>
      </c>
      <c r="G42" s="3889"/>
      <c r="H42" s="3889"/>
      <c r="K42" s="760" t="s">
        <v>240</v>
      </c>
    </row>
    <row r="43" spans="1:11" ht="12.75" customHeight="1">
      <c r="C43" s="846" t="s">
        <v>1338</v>
      </c>
      <c r="D43" s="844" t="s">
        <v>1962</v>
      </c>
      <c r="E43" s="3889" t="s">
        <v>3289</v>
      </c>
      <c r="F43" s="3889"/>
      <c r="G43" s="3889"/>
      <c r="H43" s="3889"/>
    </row>
    <row r="44" spans="1:11" ht="12.75" customHeight="1">
      <c r="E44" s="3889" t="s">
        <v>3453</v>
      </c>
      <c r="F44" s="3889"/>
      <c r="G44" s="3889"/>
      <c r="H44" s="3889"/>
    </row>
    <row r="45" spans="1:11" ht="12.75" customHeight="1">
      <c r="D45" s="847" t="s">
        <v>3287</v>
      </c>
      <c r="E45" s="3889" t="s">
        <v>3454</v>
      </c>
      <c r="F45" s="3889"/>
      <c r="G45" s="3889"/>
      <c r="H45" s="3889"/>
    </row>
    <row r="46" spans="1:11" ht="9" customHeight="1"/>
    <row r="47" spans="1:11" ht="7.5" customHeight="1">
      <c r="E47" s="3889"/>
      <c r="F47" s="3889"/>
      <c r="G47" s="3889"/>
      <c r="H47" s="3889"/>
    </row>
    <row r="48" spans="1:11" ht="24.75" customHeight="1">
      <c r="A48" s="3905" t="s">
        <v>4030</v>
      </c>
      <c r="B48" s="3905"/>
      <c r="C48" s="3905"/>
      <c r="D48" s="3905"/>
      <c r="E48" s="3905"/>
      <c r="F48" s="3905"/>
      <c r="G48" s="3905"/>
      <c r="H48" s="3905"/>
    </row>
    <row r="49" spans="1:11" ht="9" customHeight="1"/>
    <row r="50" spans="1:11" ht="26.25" customHeight="1">
      <c r="A50" s="3906" t="s">
        <v>3455</v>
      </c>
      <c r="B50" s="3906"/>
      <c r="C50" s="3906"/>
      <c r="D50" s="3906"/>
      <c r="E50" s="3906"/>
      <c r="F50" s="3906"/>
      <c r="G50" s="3906"/>
      <c r="H50" s="3906"/>
    </row>
    <row r="51" spans="1:11" ht="9" customHeight="1">
      <c r="A51" s="782"/>
    </row>
    <row r="52" spans="1:11">
      <c r="A52" s="815" t="s">
        <v>3283</v>
      </c>
      <c r="B52" s="842"/>
      <c r="C52" s="815" t="s">
        <v>3284</v>
      </c>
      <c r="D52" s="843" t="s">
        <v>3456</v>
      </c>
    </row>
    <row r="53" spans="1:11" ht="4.5" customHeight="1"/>
    <row r="54" spans="1:11" ht="12.75" customHeight="1">
      <c r="C54" s="809" t="s">
        <v>3187</v>
      </c>
      <c r="D54" s="844" t="s">
        <v>1960</v>
      </c>
      <c r="E54" s="845"/>
      <c r="F54" s="3889" t="s">
        <v>3188</v>
      </c>
      <c r="G54" s="3889"/>
      <c r="H54" s="3889"/>
    </row>
    <row r="55" spans="1:11" ht="12.75" customHeight="1">
      <c r="C55" s="846" t="s">
        <v>1338</v>
      </c>
      <c r="D55" s="844" t="s">
        <v>1962</v>
      </c>
      <c r="E55" s="3889" t="s">
        <v>3462</v>
      </c>
      <c r="F55" s="3889"/>
      <c r="G55" s="3889"/>
      <c r="H55" s="3889"/>
    </row>
    <row r="56" spans="1:11" ht="3" customHeight="1">
      <c r="D56" s="844"/>
      <c r="E56" s="1326"/>
      <c r="F56" s="1326"/>
      <c r="G56" s="1326"/>
      <c r="H56" s="1326"/>
    </row>
    <row r="57" spans="1:11">
      <c r="A57" s="815" t="s">
        <v>3283</v>
      </c>
      <c r="B57" s="842"/>
      <c r="C57" s="815" t="s">
        <v>3285</v>
      </c>
      <c r="D57" s="843" t="s">
        <v>3460</v>
      </c>
    </row>
    <row r="58" spans="1:11" ht="4.5" customHeight="1"/>
    <row r="59" spans="1:11">
      <c r="C59" s="809" t="s">
        <v>3187</v>
      </c>
      <c r="D59" s="844" t="s">
        <v>1960</v>
      </c>
      <c r="E59" s="845"/>
      <c r="F59" s="3889" t="s">
        <v>3188</v>
      </c>
      <c r="G59" s="3889"/>
      <c r="H59" s="3889"/>
    </row>
    <row r="60" spans="1:11" ht="12.75" customHeight="1">
      <c r="C60" s="846" t="s">
        <v>1338</v>
      </c>
      <c r="D60" s="844" t="s">
        <v>1962</v>
      </c>
      <c r="E60" s="3889" t="s">
        <v>3462</v>
      </c>
      <c r="F60" s="3889"/>
      <c r="G60" s="3889"/>
      <c r="H60" s="3889"/>
    </row>
    <row r="61" spans="1:11" ht="3" customHeight="1">
      <c r="D61" s="844"/>
      <c r="E61" s="1326"/>
      <c r="F61" s="1326"/>
      <c r="G61" s="1326"/>
      <c r="H61" s="1326"/>
    </row>
    <row r="62" spans="1:11">
      <c r="A62" s="815" t="s">
        <v>3283</v>
      </c>
      <c r="B62" s="842"/>
      <c r="C62" s="815" t="s">
        <v>3286</v>
      </c>
      <c r="D62" s="843" t="s">
        <v>3461</v>
      </c>
    </row>
    <row r="63" spans="1:11" ht="4.5" customHeight="1"/>
    <row r="64" spans="1:11">
      <c r="C64" s="809" t="s">
        <v>3187</v>
      </c>
      <c r="D64" s="844" t="s">
        <v>1960</v>
      </c>
      <c r="E64" s="845"/>
      <c r="F64" s="3889" t="s">
        <v>3188</v>
      </c>
      <c r="G64" s="3889"/>
      <c r="H64" s="3889"/>
      <c r="K64" s="760" t="s">
        <v>240</v>
      </c>
    </row>
    <row r="65" spans="3:8" ht="12.75" customHeight="1">
      <c r="C65" s="846" t="s">
        <v>1338</v>
      </c>
      <c r="D65" s="844" t="s">
        <v>1962</v>
      </c>
      <c r="E65" s="3889" t="s">
        <v>3462</v>
      </c>
      <c r="F65" s="3889"/>
      <c r="G65" s="3889"/>
      <c r="H65" s="3889"/>
    </row>
    <row r="66" spans="3:8" ht="7.5" customHeight="1">
      <c r="E66" s="3889"/>
      <c r="F66" s="3889"/>
      <c r="G66" s="3889"/>
      <c r="H66" s="3889"/>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345" customWidth="1"/>
    <col min="2" max="2" width="12.44140625" style="1345" customWidth="1"/>
    <col min="3" max="3" width="12.109375" style="1345" customWidth="1"/>
    <col min="4" max="4" width="9.88671875" style="1345" customWidth="1"/>
    <col min="5" max="5" width="10.44140625" style="1345" customWidth="1"/>
    <col min="6" max="6" width="9.109375" style="1345"/>
    <col min="7" max="7" width="11" style="1345" customWidth="1"/>
    <col min="8" max="8" width="14.44140625" style="1345" customWidth="1"/>
    <col min="9" max="9" width="10.109375" style="1345" customWidth="1"/>
    <col min="10" max="16384" width="9.109375" style="1345"/>
  </cols>
  <sheetData>
    <row r="1" spans="2:13" ht="15.6">
      <c r="B1" s="3926" t="s">
        <v>4068</v>
      </c>
      <c r="C1" s="3926"/>
      <c r="D1" s="3926"/>
      <c r="E1" s="3926"/>
      <c r="F1" s="3926"/>
      <c r="G1" s="3926"/>
      <c r="H1" s="3926"/>
      <c r="I1" s="3926"/>
    </row>
    <row r="2" spans="2:13" ht="13.8">
      <c r="B2" s="1346" t="s">
        <v>4056</v>
      </c>
      <c r="C2" s="808"/>
      <c r="D2" s="808"/>
      <c r="E2" s="808"/>
      <c r="F2" s="808"/>
      <c r="G2" s="808"/>
      <c r="H2" s="808"/>
      <c r="I2" s="808"/>
    </row>
    <row r="3" spans="2:13" ht="13.8">
      <c r="B3" s="1347" t="s">
        <v>4063</v>
      </c>
      <c r="C3" s="808"/>
      <c r="D3" s="808"/>
      <c r="E3" s="808"/>
      <c r="F3" s="808"/>
      <c r="G3" s="808"/>
      <c r="H3" s="808"/>
      <c r="I3" s="808"/>
    </row>
    <row r="4" spans="2:13">
      <c r="B4" s="3927" t="s">
        <v>3189</v>
      </c>
      <c r="C4" s="3927"/>
      <c r="D4" s="3927"/>
      <c r="E4" s="3933" t="s">
        <v>3190</v>
      </c>
      <c r="F4" s="3935"/>
      <c r="G4" s="3933" t="s">
        <v>606</v>
      </c>
      <c r="H4" s="3934"/>
      <c r="I4" s="3935"/>
      <c r="J4" s="1340" t="s">
        <v>3034</v>
      </c>
      <c r="K4" s="1340"/>
      <c r="L4" s="1348"/>
      <c r="M4" s="1348"/>
    </row>
    <row r="5" spans="2:13">
      <c r="B5" s="3928" t="str">
        <f>'Closing term sheet'!C8</f>
        <v>Haven SA LLC</v>
      </c>
      <c r="C5" s="3929"/>
      <c r="D5" s="3929"/>
      <c r="E5" s="3939"/>
      <c r="F5" s="3940"/>
      <c r="G5" s="3936" t="str">
        <f>'Closing term sheet'!C28</f>
        <v>Haven at South Atlanta</v>
      </c>
      <c r="H5" s="3937"/>
      <c r="I5" s="3938"/>
      <c r="K5" s="760"/>
    </row>
    <row r="6" spans="2:13" ht="4.5" customHeight="1">
      <c r="D6" s="1349"/>
      <c r="E6" s="1349"/>
      <c r="F6" s="1349"/>
      <c r="G6" s="1349"/>
      <c r="H6" s="1349"/>
      <c r="I6" s="1349"/>
      <c r="K6" s="760"/>
    </row>
    <row r="7" spans="2:13">
      <c r="B7" s="3930" t="s">
        <v>3191</v>
      </c>
      <c r="C7" s="3930"/>
      <c r="D7" s="1350"/>
      <c r="E7" s="1350"/>
      <c r="F7" s="1350"/>
      <c r="G7" s="1350"/>
      <c r="H7" s="3931">
        <f>'Preview term'!E9</f>
        <v>0</v>
      </c>
      <c r="I7" s="3932"/>
    </row>
    <row r="8" spans="2:13" ht="4.5" customHeight="1">
      <c r="B8" s="1350"/>
      <c r="C8" s="1350"/>
      <c r="D8" s="1350"/>
      <c r="E8" s="1350"/>
      <c r="F8" s="1350"/>
      <c r="G8" s="1350"/>
      <c r="H8" s="1350"/>
      <c r="I8" s="1350"/>
      <c r="J8" s="1350"/>
    </row>
    <row r="9" spans="2:13">
      <c r="B9" s="1351" t="s">
        <v>3192</v>
      </c>
      <c r="C9" s="1351"/>
      <c r="D9" s="1350"/>
      <c r="E9" s="817" t="s">
        <v>4058</v>
      </c>
      <c r="F9" s="1350"/>
      <c r="G9" s="1350"/>
      <c r="H9" s="1350"/>
      <c r="I9" s="1352" t="str">
        <f>'Closing term sheet'!D12</f>
        <v>&lt;&lt;Select&gt;&gt;</v>
      </c>
    </row>
    <row r="10" spans="2:13" ht="7.5" customHeight="1">
      <c r="B10" s="1350"/>
      <c r="C10" s="1350"/>
      <c r="D10" s="1350"/>
      <c r="E10" s="1350"/>
      <c r="F10" s="1350"/>
      <c r="G10" s="1350"/>
      <c r="H10" s="1350"/>
      <c r="I10" s="1350"/>
    </row>
    <row r="11" spans="2:13" ht="13.8">
      <c r="B11" s="1353" t="s">
        <v>4055</v>
      </c>
      <c r="C11" s="1350"/>
      <c r="D11" s="1354"/>
      <c r="E11" s="1350"/>
      <c r="F11" s="1350"/>
      <c r="G11" s="1350"/>
      <c r="H11" s="1350"/>
      <c r="I11" s="1350"/>
    </row>
    <row r="12" spans="2:13">
      <c r="B12" s="1355" t="s">
        <v>3193</v>
      </c>
      <c r="C12" s="1356"/>
      <c r="D12" s="1356"/>
      <c r="E12" s="1356"/>
      <c r="F12" s="1356"/>
      <c r="G12" s="1356"/>
      <c r="H12" s="1356"/>
      <c r="I12" s="1357" t="s">
        <v>1749</v>
      </c>
    </row>
    <row r="13" spans="2:13">
      <c r="B13" s="1358"/>
      <c r="C13" s="1359"/>
      <c r="D13" s="1350"/>
      <c r="E13" s="817" t="s">
        <v>3194</v>
      </c>
      <c r="F13" s="1350"/>
      <c r="G13" s="1350"/>
      <c r="H13" s="1350"/>
      <c r="I13" s="1360"/>
    </row>
    <row r="14" spans="2:13" ht="7.5" customHeight="1">
      <c r="B14" s="1361"/>
      <c r="C14" s="1350"/>
      <c r="D14" s="1350"/>
      <c r="E14" s="1350"/>
      <c r="F14" s="1354"/>
      <c r="G14" s="1350"/>
      <c r="H14" s="1350"/>
      <c r="I14" s="1360"/>
    </row>
    <row r="15" spans="2:13">
      <c r="B15" s="1361" t="s">
        <v>3290</v>
      </c>
      <c r="C15" s="1350"/>
      <c r="D15" s="1350"/>
      <c r="E15" s="1350"/>
      <c r="F15" s="837"/>
      <c r="G15" s="1350"/>
      <c r="H15" s="1350"/>
      <c r="I15" s="1362"/>
    </row>
    <row r="16" spans="2:13">
      <c r="B16" s="1363" t="s">
        <v>4059</v>
      </c>
      <c r="C16" s="1350"/>
      <c r="D16" s="1350"/>
      <c r="E16" s="1364" t="s">
        <v>3377</v>
      </c>
      <c r="F16" s="1350"/>
      <c r="G16" s="1350"/>
      <c r="H16" s="1350"/>
      <c r="I16" s="1362"/>
    </row>
    <row r="17" spans="2:9" ht="7.5" customHeight="1">
      <c r="B17" s="1358"/>
      <c r="C17" s="1350"/>
      <c r="D17" s="1350"/>
      <c r="E17" s="1350"/>
      <c r="F17" s="1350"/>
      <c r="G17" s="1350"/>
      <c r="H17" s="1350"/>
      <c r="I17" s="1360"/>
    </row>
    <row r="18" spans="2:9">
      <c r="B18" s="1361" t="s">
        <v>3195</v>
      </c>
      <c r="C18" s="1350"/>
      <c r="D18" s="1350"/>
      <c r="E18" s="1350"/>
      <c r="F18" s="1350"/>
      <c r="G18" s="1350"/>
      <c r="H18" s="1350"/>
      <c r="I18" s="1365" t="s">
        <v>1749</v>
      </c>
    </row>
    <row r="19" spans="2:9">
      <c r="B19" s="1366" t="s">
        <v>4060</v>
      </c>
      <c r="C19" s="1350"/>
      <c r="D19" s="1350"/>
      <c r="E19" s="1350"/>
      <c r="F19" s="1350"/>
      <c r="G19" s="1350"/>
      <c r="H19" s="1350"/>
      <c r="I19" s="1367"/>
    </row>
    <row r="20" spans="2:9" ht="7.5" customHeight="1">
      <c r="B20" s="1361"/>
      <c r="C20" s="1350"/>
      <c r="D20" s="1350"/>
      <c r="E20" s="1350"/>
      <c r="F20" s="1350"/>
      <c r="G20" s="1350"/>
      <c r="H20" s="1350"/>
      <c r="I20" s="1367"/>
    </row>
    <row r="21" spans="2:9">
      <c r="B21" s="1361" t="s">
        <v>4057</v>
      </c>
      <c r="C21" s="1350"/>
      <c r="D21" s="1350"/>
      <c r="E21" s="1350"/>
      <c r="F21" s="1350"/>
      <c r="G21" s="1350"/>
      <c r="H21" s="1350"/>
      <c r="I21" s="1362"/>
    </row>
    <row r="22" spans="2:9">
      <c r="B22" s="1366" t="s">
        <v>4061</v>
      </c>
      <c r="C22" s="1350"/>
      <c r="D22" s="1350"/>
      <c r="E22" s="1350"/>
      <c r="F22" s="1350"/>
      <c r="G22" s="1350"/>
      <c r="H22" s="1350"/>
      <c r="I22" s="1367"/>
    </row>
    <row r="23" spans="2:9" ht="3" customHeight="1">
      <c r="B23" s="1368"/>
      <c r="C23" s="1369"/>
      <c r="D23" s="1369"/>
      <c r="E23" s="1369"/>
      <c r="F23" s="1369"/>
      <c r="G23" s="1369"/>
      <c r="H23" s="1369"/>
      <c r="I23" s="1370"/>
    </row>
    <row r="24" spans="2:9" ht="7.5" customHeight="1">
      <c r="B24" s="1350"/>
      <c r="C24" s="1350"/>
      <c r="D24" s="1350"/>
      <c r="E24" s="1350"/>
      <c r="F24" s="1350"/>
      <c r="G24" s="1350"/>
      <c r="H24" s="1350"/>
      <c r="I24" s="1350"/>
    </row>
    <row r="25" spans="2:9" ht="15" customHeight="1">
      <c r="B25" s="1353" t="s">
        <v>4062</v>
      </c>
      <c r="C25" s="1350"/>
      <c r="D25" s="1350"/>
      <c r="E25" s="1350"/>
      <c r="F25" s="1350"/>
      <c r="G25" s="1350"/>
      <c r="H25" s="1350"/>
      <c r="I25" s="1350"/>
    </row>
    <row r="26" spans="2:9" ht="3" customHeight="1">
      <c r="B26" s="1371"/>
      <c r="C26" s="1356"/>
      <c r="D26" s="1356"/>
      <c r="E26" s="1356"/>
      <c r="F26" s="1356"/>
      <c r="G26" s="1356"/>
      <c r="H26" s="1356"/>
      <c r="I26" s="1372"/>
    </row>
    <row r="27" spans="2:9">
      <c r="B27" s="1361" t="s">
        <v>3196</v>
      </c>
      <c r="C27" s="1350"/>
      <c r="D27" s="1373">
        <v>2</v>
      </c>
      <c r="F27" s="1350"/>
      <c r="G27" s="837" t="s">
        <v>3197</v>
      </c>
      <c r="H27" s="1350"/>
      <c r="I27" s="1374">
        <v>2</v>
      </c>
    </row>
    <row r="28" spans="2:9">
      <c r="B28" s="1358"/>
      <c r="C28" s="1364" t="s">
        <v>3198</v>
      </c>
      <c r="D28" s="1375"/>
      <c r="E28" s="1375"/>
      <c r="F28" s="1375"/>
      <c r="H28" s="1375" t="s">
        <v>3199</v>
      </c>
      <c r="I28" s="1360"/>
    </row>
    <row r="29" spans="2:9">
      <c r="B29" s="1358"/>
      <c r="C29" s="1364" t="s">
        <v>3200</v>
      </c>
      <c r="D29" s="1375"/>
      <c r="E29" s="1375"/>
      <c r="F29" s="1375"/>
      <c r="H29" s="1375" t="s">
        <v>3201</v>
      </c>
      <c r="I29" s="1360"/>
    </row>
    <row r="30" spans="2:9">
      <c r="B30" s="1358"/>
      <c r="C30" s="1364" t="s">
        <v>3202</v>
      </c>
      <c r="D30" s="1375"/>
      <c r="E30" s="1375"/>
      <c r="F30" s="1375"/>
      <c r="H30" s="1375" t="s">
        <v>3203</v>
      </c>
      <c r="I30" s="1360"/>
    </row>
    <row r="31" spans="2:9" ht="3" customHeight="1">
      <c r="B31" s="1368"/>
      <c r="C31" s="1369"/>
      <c r="D31" s="1369"/>
      <c r="E31" s="1369"/>
      <c r="F31" s="1369"/>
      <c r="G31" s="1369"/>
      <c r="H31" s="1369"/>
      <c r="I31" s="1370"/>
    </row>
    <row r="32" spans="2:9" ht="7.5" customHeight="1"/>
    <row r="33" spans="2:9" ht="15" customHeight="1">
      <c r="B33" s="756" t="s">
        <v>4064</v>
      </c>
    </row>
    <row r="34" spans="2:9" ht="3" customHeight="1">
      <c r="B34" s="1371"/>
      <c r="C34" s="1356"/>
      <c r="D34" s="1356"/>
      <c r="E34" s="1356"/>
      <c r="F34" s="1356"/>
      <c r="G34" s="1356"/>
      <c r="H34" s="1356"/>
      <c r="I34" s="1372"/>
    </row>
    <row r="35" spans="2:9">
      <c r="B35" s="1361" t="s">
        <v>4067</v>
      </c>
      <c r="C35" s="1350"/>
      <c r="D35" s="1350"/>
      <c r="F35" s="1376"/>
      <c r="H35" s="3911" t="s">
        <v>4076</v>
      </c>
      <c r="I35" s="3912"/>
    </row>
    <row r="36" spans="2:9">
      <c r="B36" s="1377" t="s">
        <v>4075</v>
      </c>
      <c r="C36" s="1375"/>
      <c r="D36" s="1375"/>
      <c r="E36" s="1350"/>
      <c r="F36" s="1684"/>
      <c r="G36" s="1378"/>
      <c r="H36" s="3911"/>
      <c r="I36" s="3912"/>
    </row>
    <row r="37" spans="2:9">
      <c r="B37" s="1377" t="s">
        <v>4073</v>
      </c>
      <c r="D37" s="1375"/>
      <c r="E37" s="1350"/>
      <c r="F37" s="1685"/>
      <c r="G37" s="1378"/>
      <c r="H37" s="3911"/>
      <c r="I37" s="3912"/>
    </row>
    <row r="38" spans="2:9">
      <c r="B38" s="1377" t="s">
        <v>4074</v>
      </c>
      <c r="D38" s="1350"/>
      <c r="E38" s="1350"/>
      <c r="F38" s="1685"/>
      <c r="G38" s="1378"/>
      <c r="H38" s="1378"/>
      <c r="I38" s="1379"/>
    </row>
    <row r="39" spans="2:9" ht="12.75" customHeight="1">
      <c r="B39" s="1377" t="s">
        <v>4072</v>
      </c>
      <c r="C39" s="1350"/>
      <c r="D39" s="1350"/>
      <c r="E39" s="1350"/>
      <c r="F39" s="1685"/>
      <c r="G39" s="1378"/>
      <c r="H39" s="1378"/>
      <c r="I39" s="1379"/>
    </row>
    <row r="40" spans="2:9">
      <c r="B40" s="1380" t="s">
        <v>4071</v>
      </c>
      <c r="C40" s="1381"/>
      <c r="D40" s="1382"/>
      <c r="E40" s="1383"/>
      <c r="F40" s="1685"/>
      <c r="G40" s="1383"/>
      <c r="H40" s="1683"/>
      <c r="I40" s="1360"/>
    </row>
    <row r="41" spans="2:9">
      <c r="B41" s="1380" t="s">
        <v>4070</v>
      </c>
      <c r="C41" s="1381"/>
      <c r="D41" s="1382"/>
      <c r="E41" s="1350"/>
      <c r="F41" s="1685"/>
      <c r="G41" s="1350"/>
      <c r="H41" s="1350"/>
      <c r="I41" s="1360"/>
    </row>
    <row r="42" spans="2:9">
      <c r="B42" s="1384" t="s">
        <v>4069</v>
      </c>
      <c r="C42" s="1385"/>
      <c r="D42" s="1385"/>
      <c r="E42" s="1350"/>
      <c r="F42" s="1686"/>
      <c r="G42" s="1350"/>
      <c r="H42" s="1350"/>
      <c r="I42" s="1360"/>
    </row>
    <row r="43" spans="2:9" ht="3" customHeight="1">
      <c r="B43" s="1368"/>
      <c r="C43" s="1369"/>
      <c r="D43" s="1369"/>
      <c r="E43" s="1369"/>
      <c r="F43" s="1369"/>
      <c r="G43" s="1369"/>
      <c r="H43" s="1369"/>
      <c r="I43" s="1370"/>
    </row>
    <row r="44" spans="2:9" ht="7.5" customHeight="1"/>
    <row r="45" spans="2:9" ht="15" customHeight="1">
      <c r="B45" s="756" t="s">
        <v>4066</v>
      </c>
    </row>
    <row r="46" spans="2:9" ht="3" customHeight="1">
      <c r="B46" s="1371"/>
      <c r="C46" s="1356"/>
      <c r="D46" s="1356"/>
      <c r="E46" s="1356"/>
      <c r="F46" s="1356"/>
      <c r="G46" s="1356"/>
      <c r="H46" s="1356"/>
      <c r="I46" s="1372"/>
    </row>
    <row r="47" spans="2:9" ht="19.2">
      <c r="B47" s="1361" t="s">
        <v>4065</v>
      </c>
      <c r="C47" s="1350"/>
      <c r="D47" s="1386"/>
      <c r="E47" s="1387" t="str">
        <f>Overview!H7</f>
        <v>New Construction</v>
      </c>
      <c r="F47" s="784" t="s">
        <v>4077</v>
      </c>
      <c r="H47" s="1350"/>
      <c r="I47" s="1360"/>
    </row>
    <row r="48" spans="2:9">
      <c r="B48" s="1366" t="s">
        <v>3204</v>
      </c>
      <c r="C48" s="1375"/>
      <c r="D48" s="1375" t="s">
        <v>3205</v>
      </c>
      <c r="E48" s="1350"/>
      <c r="F48" s="3920" t="str">
        <f>'Closing term sheet'!$C$30</f>
        <v>57 Hardwick Street SE</v>
      </c>
      <c r="G48" s="3921"/>
      <c r="H48" s="3921"/>
      <c r="I48" s="3922"/>
    </row>
    <row r="49" spans="2:9">
      <c r="B49" s="1366" t="s">
        <v>3206</v>
      </c>
      <c r="D49" s="1375" t="s">
        <v>3207</v>
      </c>
      <c r="E49" s="1350"/>
      <c r="F49" s="3923"/>
      <c r="G49" s="3924"/>
      <c r="H49" s="3924"/>
      <c r="I49" s="3925"/>
    </row>
    <row r="50" spans="2:9">
      <c r="B50" s="1366" t="s">
        <v>3208</v>
      </c>
      <c r="D50" s="1350"/>
      <c r="E50" s="1350"/>
      <c r="F50" s="1388"/>
      <c r="G50" s="1389"/>
      <c r="H50" s="1389"/>
      <c r="I50" s="1390"/>
    </row>
    <row r="51" spans="2:9" ht="7.5" customHeight="1">
      <c r="B51" s="1358"/>
      <c r="C51" s="1350"/>
      <c r="D51" s="1350"/>
      <c r="E51" s="1350"/>
      <c r="F51" s="1350"/>
      <c r="G51" s="1350"/>
      <c r="H51" s="1350"/>
      <c r="I51" s="1360"/>
    </row>
    <row r="52" spans="2:9">
      <c r="B52" s="1391" t="s">
        <v>4078</v>
      </c>
      <c r="C52" s="3943" t="str">
        <f>'Part I-Project Information'!F38</f>
        <v>Atlanta</v>
      </c>
      <c r="D52" s="3944"/>
      <c r="E52" s="1392" t="s">
        <v>4079</v>
      </c>
      <c r="F52" s="1352" t="s">
        <v>836</v>
      </c>
      <c r="G52" s="1392" t="s">
        <v>4080</v>
      </c>
      <c r="H52" s="1393">
        <f>'Part I-Project Information'!J38</f>
        <v>303150000</v>
      </c>
      <c r="I52" s="1360"/>
    </row>
    <row r="53" spans="2:9">
      <c r="B53" s="1391" t="s">
        <v>4242</v>
      </c>
      <c r="D53" s="1394" t="e">
        <f>VLOOKUP("='Part I-Project Information'!$J$39",'DCA Underwriting Assumptions'!$G$158:$O$317,9)</f>
        <v>#N/A</v>
      </c>
      <c r="I53" s="1360"/>
    </row>
    <row r="54" spans="2:9">
      <c r="B54" s="1391" t="s">
        <v>4243</v>
      </c>
      <c r="D54" s="1350"/>
      <c r="E54" s="1350"/>
      <c r="F54" s="1350"/>
      <c r="G54" s="1350"/>
      <c r="I54" s="1360"/>
    </row>
    <row r="55" spans="2:9">
      <c r="B55" s="1384" t="s">
        <v>4244</v>
      </c>
      <c r="D55" s="1395">
        <f>'Closing term sheet'!$D$33</f>
        <v>71</v>
      </c>
      <c r="E55" s="1396"/>
      <c r="F55" s="817" t="s">
        <v>3209</v>
      </c>
      <c r="G55" s="1350"/>
      <c r="H55" s="1350"/>
      <c r="I55" s="1360"/>
    </row>
    <row r="56" spans="2:9">
      <c r="B56" s="1384" t="s">
        <v>4246</v>
      </c>
      <c r="D56" s="1397">
        <f>'Closing term sheet'!$D$62</f>
        <v>4041894</v>
      </c>
      <c r="E56" s="1398"/>
      <c r="F56" s="817" t="s">
        <v>3210</v>
      </c>
      <c r="G56" s="1350"/>
      <c r="H56" s="1350"/>
      <c r="I56" s="1360"/>
    </row>
    <row r="57" spans="2:9">
      <c r="B57" s="1377" t="s">
        <v>4245</v>
      </c>
      <c r="D57" s="1399"/>
      <c r="F57" s="817" t="s">
        <v>3211</v>
      </c>
      <c r="G57" s="1350"/>
      <c r="H57" s="1350"/>
      <c r="I57" s="1360"/>
    </row>
    <row r="58" spans="2:9" ht="7.5" customHeight="1">
      <c r="B58" s="1368"/>
      <c r="C58" s="1369"/>
      <c r="D58" s="1369"/>
      <c r="E58" s="1369"/>
      <c r="F58" s="1369"/>
      <c r="G58" s="1369"/>
      <c r="H58" s="1369"/>
      <c r="I58" s="1370"/>
    </row>
    <row r="59" spans="2:9" ht="15" customHeight="1"/>
    <row r="60" spans="2:9" ht="7.5" customHeight="1">
      <c r="B60" s="1371"/>
      <c r="C60" s="1356"/>
      <c r="D60" s="1356"/>
      <c r="E60" s="1356"/>
      <c r="F60" s="1356"/>
      <c r="G60" s="1356"/>
      <c r="H60" s="1356"/>
      <c r="I60" s="1372"/>
    </row>
    <row r="61" spans="2:9">
      <c r="B61" s="3948" t="s">
        <v>3212</v>
      </c>
      <c r="C61" s="3949"/>
      <c r="D61" s="3949"/>
      <c r="E61" s="3949"/>
      <c r="F61" s="3949"/>
      <c r="G61" s="3949"/>
      <c r="H61" s="3949"/>
      <c r="I61" s="3950"/>
    </row>
    <row r="62" spans="2:9" ht="7.5" customHeight="1">
      <c r="B62" s="3945"/>
      <c r="C62" s="3946"/>
      <c r="D62" s="3946"/>
      <c r="E62" s="1350"/>
      <c r="F62" s="1350"/>
      <c r="G62" s="1400"/>
      <c r="H62" s="1350"/>
      <c r="I62" s="1360"/>
    </row>
    <row r="63" spans="2:9">
      <c r="B63" s="1401" t="s">
        <v>3214</v>
      </c>
      <c r="C63" s="1350"/>
      <c r="D63" s="1395">
        <v>4</v>
      </c>
      <c r="F63" s="1350"/>
      <c r="G63" s="3930" t="s">
        <v>3213</v>
      </c>
      <c r="H63" s="3930"/>
      <c r="I63" s="3947"/>
    </row>
    <row r="64" spans="2:9">
      <c r="B64" s="1358"/>
      <c r="C64" s="1375" t="s">
        <v>3217</v>
      </c>
      <c r="D64" s="1375" t="s">
        <v>3218</v>
      </c>
      <c r="F64" s="1350"/>
      <c r="G64" s="829" t="s">
        <v>3215</v>
      </c>
      <c r="H64" s="1350"/>
      <c r="I64" s="1402">
        <f>'Closing term sheet'!$D$35</f>
        <v>84</v>
      </c>
    </row>
    <row r="65" spans="2:9">
      <c r="B65" s="1358"/>
      <c r="C65" s="1375" t="s">
        <v>3219</v>
      </c>
      <c r="D65" s="1375" t="s">
        <v>3220</v>
      </c>
      <c r="F65" s="1350"/>
      <c r="G65" s="1403" t="s">
        <v>3216</v>
      </c>
      <c r="H65" s="1350"/>
      <c r="I65" s="1402">
        <f>C42</f>
        <v>0</v>
      </c>
    </row>
    <row r="66" spans="2:9">
      <c r="B66" s="1366"/>
      <c r="C66" s="1375" t="s">
        <v>3221</v>
      </c>
      <c r="D66" s="1350"/>
      <c r="E66" s="1375"/>
      <c r="F66" s="1350"/>
      <c r="H66" s="1350"/>
      <c r="I66" s="1404"/>
    </row>
    <row r="67" spans="2:9" ht="7.5" customHeight="1">
      <c r="B67" s="1368"/>
      <c r="C67" s="1369"/>
      <c r="D67" s="1369"/>
      <c r="E67" s="1369"/>
      <c r="F67" s="1369"/>
      <c r="G67" s="1369"/>
      <c r="H67" s="1369"/>
      <c r="I67" s="1370"/>
    </row>
    <row r="68" spans="2:9" ht="15" customHeight="1">
      <c r="B68" s="1350"/>
      <c r="C68" s="1350"/>
      <c r="D68" s="1350"/>
      <c r="E68" s="1350"/>
      <c r="F68" s="1350"/>
      <c r="G68" s="1350"/>
      <c r="H68" s="1350"/>
      <c r="I68" s="1350"/>
    </row>
    <row r="69" spans="2:9" ht="7.5" customHeight="1">
      <c r="B69" s="1371"/>
      <c r="C69" s="1356"/>
      <c r="D69" s="1356"/>
      <c r="E69" s="1356"/>
      <c r="F69" s="1356"/>
      <c r="G69" s="1356"/>
      <c r="H69" s="1356"/>
      <c r="I69" s="1372"/>
    </row>
    <row r="70" spans="2:9">
      <c r="B70" s="1361" t="s">
        <v>3222</v>
      </c>
      <c r="C70" s="1350"/>
      <c r="D70" s="1350"/>
      <c r="E70" s="1350"/>
      <c r="F70" s="1350"/>
      <c r="G70" s="1350"/>
      <c r="H70" s="1350"/>
      <c r="I70" s="1360"/>
    </row>
    <row r="71" spans="2:9" ht="7.5" customHeight="1">
      <c r="B71" s="1358"/>
      <c r="C71" s="1350"/>
      <c r="D71" s="1350"/>
      <c r="E71" s="1350"/>
      <c r="F71" s="1350"/>
      <c r="G71" s="1350"/>
      <c r="H71" s="1350"/>
      <c r="I71" s="1360"/>
    </row>
    <row r="72" spans="2:9">
      <c r="B72" s="1361" t="s">
        <v>3223</v>
      </c>
      <c r="D72" s="1350"/>
      <c r="E72" s="1350"/>
      <c r="F72" s="1350"/>
      <c r="G72" s="1350"/>
      <c r="H72" s="1350"/>
      <c r="I72" s="1386"/>
    </row>
    <row r="73" spans="2:9" ht="7.5" customHeight="1">
      <c r="B73" s="1358"/>
      <c r="C73" s="1350"/>
      <c r="D73" s="1350"/>
      <c r="E73" s="1350"/>
      <c r="F73" s="1350"/>
      <c r="G73" s="1350"/>
      <c r="H73" s="1350"/>
      <c r="I73" s="1360"/>
    </row>
    <row r="74" spans="2:9">
      <c r="B74" s="1358" t="s">
        <v>3224</v>
      </c>
      <c r="D74" s="1350"/>
      <c r="E74" s="1350"/>
      <c r="F74" s="1350" t="s">
        <v>3291</v>
      </c>
      <c r="G74" s="1350"/>
      <c r="H74" s="1350"/>
      <c r="I74" s="1405"/>
    </row>
    <row r="75" spans="2:9">
      <c r="B75" s="1358"/>
      <c r="E75" s="1350"/>
      <c r="F75" s="1350" t="s">
        <v>3292</v>
      </c>
      <c r="G75" s="1350"/>
      <c r="H75" s="1350"/>
      <c r="I75" s="1405"/>
    </row>
    <row r="76" spans="2:9">
      <c r="B76" s="1358"/>
      <c r="E76" s="1350"/>
      <c r="F76" s="1350" t="s">
        <v>3293</v>
      </c>
      <c r="G76" s="1350"/>
      <c r="H76" s="1350"/>
      <c r="I76" s="1405"/>
    </row>
    <row r="77" spans="2:9">
      <c r="B77" s="1358"/>
      <c r="E77" s="1350"/>
      <c r="F77" s="837" t="s">
        <v>3294</v>
      </c>
      <c r="G77" s="1350"/>
      <c r="H77" s="1350"/>
      <c r="I77" s="1405"/>
    </row>
    <row r="78" spans="2:9" ht="7.5" customHeight="1">
      <c r="B78" s="1368"/>
      <c r="C78" s="1369"/>
      <c r="D78" s="1369"/>
      <c r="E78" s="1369"/>
      <c r="F78" s="1369"/>
      <c r="G78" s="1369"/>
      <c r="H78" s="1369"/>
      <c r="I78" s="1370"/>
    </row>
    <row r="79" spans="2:9" ht="7.5" customHeight="1"/>
    <row r="80" spans="2:9">
      <c r="B80" s="1371"/>
      <c r="C80" s="1356"/>
      <c r="D80" s="1356"/>
      <c r="E80" s="1356"/>
      <c r="F80" s="1356"/>
      <c r="G80" s="1356"/>
      <c r="H80" s="1356"/>
      <c r="I80" s="1372"/>
    </row>
    <row r="81" spans="2:9">
      <c r="B81" s="3948" t="s">
        <v>3225</v>
      </c>
      <c r="C81" s="3949"/>
      <c r="D81" s="3949"/>
      <c r="E81" s="3949"/>
      <c r="F81" s="3949"/>
      <c r="G81" s="3949"/>
      <c r="H81" s="3949"/>
      <c r="I81" s="3950"/>
    </row>
    <row r="82" spans="2:9">
      <c r="B82" s="1358"/>
      <c r="C82" s="1350"/>
      <c r="D82" s="1350"/>
      <c r="E82" s="1350"/>
      <c r="F82" s="1350"/>
      <c r="G82" s="1350"/>
      <c r="H82" s="1350"/>
      <c r="I82" s="1360"/>
    </row>
    <row r="83" spans="2:9">
      <c r="B83" s="1361" t="s">
        <v>3226</v>
      </c>
      <c r="C83" s="1350"/>
      <c r="D83" s="1350"/>
      <c r="E83" s="1350"/>
      <c r="F83" s="1350"/>
      <c r="G83" s="1350"/>
      <c r="H83" s="1350"/>
      <c r="I83" s="1360"/>
    </row>
    <row r="84" spans="2:9">
      <c r="B84" s="1358"/>
      <c r="C84" s="837" t="s">
        <v>3227</v>
      </c>
      <c r="D84" s="1350"/>
      <c r="E84" s="1350"/>
      <c r="F84" s="3916">
        <f>'Closing term sheet'!D62</f>
        <v>4041894</v>
      </c>
      <c r="G84" s="3916"/>
      <c r="H84" s="1350"/>
      <c r="I84" s="1360"/>
    </row>
    <row r="85" spans="2:9">
      <c r="B85" s="1358"/>
      <c r="C85" s="837" t="s">
        <v>3228</v>
      </c>
      <c r="D85" s="1350"/>
      <c r="E85" s="1350"/>
      <c r="F85" s="3942" t="e">
        <f>'Part III-Sources of Funds'!I45+'Part III-Sources of Funds'!L45</f>
        <v>#VALUE!</v>
      </c>
      <c r="G85" s="3942"/>
      <c r="H85" s="1350"/>
      <c r="I85" s="1360"/>
    </row>
    <row r="86" spans="2:9">
      <c r="B86" s="1358"/>
      <c r="C86" s="837" t="s">
        <v>3229</v>
      </c>
      <c r="D86" s="1350"/>
      <c r="E86" s="1350"/>
      <c r="F86" s="3941"/>
      <c r="G86" s="3941"/>
      <c r="H86" s="1350"/>
      <c r="I86" s="1360"/>
    </row>
    <row r="87" spans="2:9">
      <c r="B87" s="1358"/>
      <c r="C87" s="1375" t="s">
        <v>3230</v>
      </c>
      <c r="D87" s="1350"/>
      <c r="E87" s="1350"/>
      <c r="F87" s="3942">
        <v>11000</v>
      </c>
      <c r="G87" s="3942"/>
      <c r="H87" s="1350"/>
      <c r="I87" s="1360"/>
    </row>
    <row r="88" spans="2:9">
      <c r="B88" s="1358"/>
      <c r="C88" s="837" t="s">
        <v>3231</v>
      </c>
      <c r="D88" s="1350"/>
      <c r="E88" s="1350"/>
      <c r="F88" s="3919"/>
      <c r="G88" s="3919"/>
      <c r="H88" s="1350"/>
      <c r="I88" s="1360"/>
    </row>
    <row r="89" spans="2:9">
      <c r="B89" s="1358"/>
      <c r="C89" s="817" t="s">
        <v>3232</v>
      </c>
      <c r="D89" s="1350"/>
      <c r="E89" s="1350"/>
      <c r="F89" s="3914" t="e">
        <f>SUM(F84:G88)</f>
        <v>#VALUE!</v>
      </c>
      <c r="G89" s="3914"/>
      <c r="H89" s="1350"/>
      <c r="I89" s="1360"/>
    </row>
    <row r="90" spans="2:9">
      <c r="B90" s="1358"/>
      <c r="C90" s="1350"/>
      <c r="D90" s="1350"/>
      <c r="E90" s="1350"/>
      <c r="F90" s="3915"/>
      <c r="G90" s="3915"/>
      <c r="H90" s="1350"/>
      <c r="I90" s="1360"/>
    </row>
    <row r="91" spans="2:9">
      <c r="B91" s="1361" t="s">
        <v>3233</v>
      </c>
      <c r="C91" s="1350"/>
      <c r="D91" s="1350"/>
      <c r="E91" s="1350"/>
      <c r="F91" s="1350"/>
      <c r="G91" s="1350"/>
      <c r="H91" s="1350"/>
      <c r="I91" s="1360"/>
    </row>
    <row r="92" spans="2:9">
      <c r="B92" s="1358"/>
      <c r="C92" s="837" t="s">
        <v>3234</v>
      </c>
      <c r="D92" s="1350"/>
      <c r="E92" s="1350"/>
      <c r="F92" s="3916"/>
      <c r="G92" s="3916"/>
      <c r="H92" s="1350"/>
      <c r="I92" s="1360"/>
    </row>
    <row r="93" spans="2:9">
      <c r="B93" s="1358"/>
      <c r="C93" s="837" t="s">
        <v>3235</v>
      </c>
      <c r="D93" s="1350"/>
      <c r="E93" s="1350"/>
      <c r="F93" s="3917"/>
      <c r="G93" s="3917"/>
      <c r="H93" s="1350"/>
      <c r="I93" s="1360"/>
    </row>
    <row r="94" spans="2:9">
      <c r="B94" s="1358"/>
      <c r="C94" s="837" t="s">
        <v>3236</v>
      </c>
      <c r="D94" s="1350"/>
      <c r="E94" s="1350"/>
      <c r="F94" s="3918" t="s">
        <v>3110</v>
      </c>
      <c r="G94" s="3913"/>
      <c r="H94" s="1350"/>
      <c r="I94" s="1360"/>
    </row>
    <row r="95" spans="2:9">
      <c r="B95" s="1358"/>
      <c r="C95" s="817" t="s">
        <v>3237</v>
      </c>
      <c r="D95" s="1350"/>
      <c r="E95" s="1350"/>
      <c r="F95" s="3914">
        <f>+SUM(F92:G94)</f>
        <v>0</v>
      </c>
      <c r="G95" s="3914"/>
      <c r="H95" s="1350"/>
      <c r="I95" s="1360"/>
    </row>
    <row r="96" spans="2:9">
      <c r="B96" s="1358"/>
      <c r="C96" s="1350"/>
      <c r="D96" s="1350"/>
      <c r="E96" s="1350"/>
      <c r="F96" s="1350"/>
      <c r="G96" s="1350"/>
      <c r="H96" s="1350"/>
      <c r="I96" s="1360"/>
    </row>
    <row r="97" spans="2:9">
      <c r="B97" s="1361" t="s">
        <v>3238</v>
      </c>
      <c r="C97" s="1350"/>
      <c r="D97" s="1350"/>
      <c r="E97" s="1350"/>
      <c r="F97" s="1350"/>
      <c r="G97" s="1350"/>
      <c r="H97" s="1350"/>
      <c r="I97" s="1360"/>
    </row>
    <row r="98" spans="2:9">
      <c r="B98" s="1358"/>
      <c r="C98" s="837" t="s">
        <v>3239</v>
      </c>
      <c r="D98" s="1350"/>
      <c r="E98" s="1350"/>
      <c r="F98" s="3916"/>
      <c r="G98" s="3916"/>
      <c r="H98" s="1350"/>
      <c r="I98" s="1360"/>
    </row>
    <row r="99" spans="2:9">
      <c r="B99" s="1358"/>
      <c r="C99" s="837" t="s">
        <v>3240</v>
      </c>
      <c r="D99" s="1350"/>
      <c r="E99" s="1350"/>
      <c r="F99" s="3917"/>
      <c r="G99" s="3917"/>
      <c r="H99" s="1350"/>
      <c r="I99" s="1360"/>
    </row>
    <row r="100" spans="2:9">
      <c r="B100" s="1358"/>
      <c r="C100" s="837" t="s">
        <v>3241</v>
      </c>
      <c r="D100" s="1350"/>
      <c r="E100" s="1350"/>
      <c r="F100" s="3919"/>
      <c r="G100" s="3919"/>
      <c r="H100" s="1350"/>
      <c r="I100" s="1360"/>
    </row>
    <row r="101" spans="2:9">
      <c r="B101" s="1358"/>
      <c r="C101" s="817" t="s">
        <v>3242</v>
      </c>
      <c r="D101" s="1350"/>
      <c r="E101" s="1350"/>
      <c r="F101" s="3914">
        <f>+SUM(F98:G100)</f>
        <v>0</v>
      </c>
      <c r="G101" s="3914"/>
      <c r="H101" s="1350"/>
      <c r="I101" s="1360"/>
    </row>
    <row r="102" spans="2:9">
      <c r="B102" s="1358"/>
      <c r="C102" s="1350"/>
      <c r="D102" s="1350"/>
      <c r="E102" s="1350"/>
      <c r="F102" s="1350"/>
      <c r="G102" s="1350"/>
      <c r="H102" s="1350"/>
      <c r="I102" s="1360"/>
    </row>
    <row r="103" spans="2:9">
      <c r="B103" s="1401" t="s">
        <v>3243</v>
      </c>
      <c r="C103" s="837"/>
      <c r="D103" s="1350"/>
      <c r="E103" s="1350"/>
      <c r="F103" s="3913">
        <f>'Part III-Sources of Funds'!I46+'Part III-Sources of Funds'!I47</f>
        <v>0</v>
      </c>
      <c r="G103" s="3913"/>
      <c r="H103" s="1350"/>
      <c r="I103" s="1360"/>
    </row>
    <row r="104" spans="2:9">
      <c r="B104" s="1358"/>
      <c r="C104" s="1350"/>
      <c r="D104" s="1350"/>
      <c r="E104" s="1350"/>
      <c r="F104" s="1350"/>
      <c r="G104" s="1350"/>
      <c r="H104" s="1350"/>
      <c r="I104" s="1406" t="s">
        <v>3244</v>
      </c>
    </row>
    <row r="105" spans="2:9">
      <c r="B105" s="1361" t="s">
        <v>3245</v>
      </c>
      <c r="C105" s="1350"/>
      <c r="D105" s="1350"/>
      <c r="E105" s="1350"/>
      <c r="F105" s="3913" t="e">
        <f>+F103+F101+F95+F89</f>
        <v>#VALUE!</v>
      </c>
      <c r="G105" s="3913"/>
      <c r="H105" s="1350"/>
      <c r="I105" s="1360"/>
    </row>
    <row r="106" spans="2:9">
      <c r="B106" s="1368"/>
      <c r="C106" s="1369"/>
      <c r="D106" s="1369"/>
      <c r="E106" s="1369"/>
      <c r="F106" s="1369"/>
      <c r="G106" s="1369"/>
      <c r="H106" s="1369"/>
      <c r="I106" s="1370"/>
    </row>
    <row r="108" spans="2:9">
      <c r="C108" s="1407" t="s">
        <v>2933</v>
      </c>
    </row>
    <row r="109" spans="2:9">
      <c r="C109" s="1407" t="s">
        <v>2936</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2527" customWidth="1"/>
    <col min="2" max="13" width="7.88671875" style="2527" customWidth="1"/>
    <col min="14" max="15" width="5.88671875" style="2527" customWidth="1"/>
    <col min="16" max="16384" width="8.88671875" style="2527"/>
  </cols>
  <sheetData>
    <row r="1" spans="1:26" ht="18">
      <c r="N1" s="2528" t="s">
        <v>1480</v>
      </c>
      <c r="O1" s="2528"/>
      <c r="P1" s="2528"/>
      <c r="Q1" s="2528"/>
      <c r="R1" s="2528"/>
      <c r="S1" s="2528"/>
      <c r="T1" s="2528"/>
      <c r="U1" s="2528"/>
      <c r="V1" s="2528"/>
      <c r="W1" s="2528"/>
      <c r="X1" s="2528"/>
      <c r="Y1" s="2528"/>
      <c r="Z1" s="2528"/>
    </row>
    <row r="2" spans="1:26">
      <c r="N2" s="2529" t="s">
        <v>1481</v>
      </c>
      <c r="O2" s="2529"/>
      <c r="P2" s="2529"/>
      <c r="Q2" s="2529"/>
      <c r="R2" s="2529"/>
      <c r="S2" s="2529"/>
      <c r="T2" s="2529"/>
      <c r="U2" s="2529"/>
      <c r="V2" s="2529"/>
      <c r="W2" s="2529"/>
      <c r="X2" s="2529"/>
      <c r="Y2" s="2529"/>
      <c r="Z2" s="2529"/>
    </row>
    <row r="3" spans="1:26">
      <c r="N3" s="2530" t="s">
        <v>1482</v>
      </c>
      <c r="O3" s="2530"/>
      <c r="P3" s="2530"/>
      <c r="Q3" s="2530"/>
      <c r="R3" s="2530"/>
      <c r="S3" s="2530"/>
      <c r="T3" s="2530"/>
      <c r="U3" s="2530"/>
      <c r="V3" s="2530"/>
      <c r="W3" s="2530"/>
      <c r="X3" s="2530"/>
      <c r="Y3" s="2530"/>
      <c r="Z3" s="2530"/>
    </row>
    <row r="4" spans="1:26">
      <c r="B4" s="2531"/>
      <c r="C4" s="2531"/>
      <c r="D4" s="2531"/>
      <c r="E4" s="2531"/>
      <c r="F4" s="2531"/>
      <c r="G4" s="2531"/>
      <c r="H4" s="2531"/>
      <c r="I4" s="2531"/>
      <c r="J4" s="2531"/>
      <c r="K4" s="2531"/>
      <c r="L4" s="2531"/>
      <c r="M4" s="2531"/>
      <c r="N4" s="2532" t="s">
        <v>691</v>
      </c>
    </row>
    <row r="5" spans="1:26" ht="59.25" customHeight="1">
      <c r="A5" s="3958" t="s">
        <v>2706</v>
      </c>
      <c r="B5" s="3958"/>
      <c r="C5" s="3958"/>
      <c r="D5" s="3958"/>
      <c r="E5" s="3958"/>
      <c r="F5" s="3958"/>
      <c r="G5" s="3958"/>
      <c r="H5" s="3958"/>
      <c r="I5" s="3958"/>
      <c r="J5" s="3958"/>
      <c r="K5" s="3958"/>
      <c r="L5" s="3958"/>
      <c r="M5" s="3958"/>
    </row>
    <row r="6" spans="1:26" ht="11.4" customHeight="1">
      <c r="A6" s="2531"/>
      <c r="B6" s="2531"/>
      <c r="C6" s="2531"/>
      <c r="D6" s="2531"/>
      <c r="E6" s="2531"/>
      <c r="F6" s="2531"/>
      <c r="G6" s="2531"/>
      <c r="H6" s="2531"/>
      <c r="I6" s="2531"/>
      <c r="J6" s="2531"/>
      <c r="K6" s="2531"/>
      <c r="L6" s="2531"/>
      <c r="M6" s="2531"/>
    </row>
    <row r="7" spans="1:26">
      <c r="A7" s="2531" t="s">
        <v>696</v>
      </c>
      <c r="B7" s="2531"/>
      <c r="C7" s="2531"/>
      <c r="D7" s="2531"/>
      <c r="E7" s="2531"/>
      <c r="F7" s="2531"/>
      <c r="G7" s="2531"/>
      <c r="H7" s="2531"/>
      <c r="I7" s="2531"/>
      <c r="J7" s="2531"/>
      <c r="K7" s="2531"/>
      <c r="L7" s="2531"/>
      <c r="M7" s="2531"/>
    </row>
    <row r="8" spans="1:26" ht="11.4" customHeight="1">
      <c r="A8" s="2531"/>
      <c r="B8" s="2531"/>
      <c r="C8" s="2531"/>
      <c r="D8" s="2531"/>
      <c r="E8" s="2531"/>
      <c r="F8" s="2531"/>
      <c r="G8" s="2531"/>
      <c r="H8" s="2531"/>
      <c r="I8" s="2531"/>
      <c r="J8" s="2531"/>
      <c r="K8" s="2531"/>
      <c r="L8" s="2531"/>
      <c r="M8" s="2531"/>
    </row>
    <row r="9" spans="1:26">
      <c r="A9" s="3955" t="s">
        <v>1880</v>
      </c>
      <c r="B9" s="3955"/>
      <c r="C9" s="3955"/>
      <c r="D9" s="3955"/>
      <c r="E9" s="3955"/>
      <c r="F9" s="3955"/>
      <c r="G9" s="3955"/>
      <c r="H9" s="3955"/>
      <c r="I9" s="3955"/>
      <c r="J9" s="3955"/>
      <c r="K9" s="3955"/>
      <c r="L9" s="3955"/>
      <c r="M9" s="3955"/>
    </row>
    <row r="10" spans="1:26" ht="6.75" customHeight="1">
      <c r="A10" s="3955"/>
      <c r="B10" s="3955"/>
      <c r="C10" s="3955"/>
      <c r="D10" s="3955"/>
      <c r="E10" s="3955"/>
      <c r="F10" s="3955"/>
      <c r="G10" s="3955"/>
      <c r="H10" s="3955"/>
      <c r="I10" s="3955"/>
      <c r="J10" s="3955"/>
      <c r="K10" s="3955"/>
      <c r="L10" s="3955"/>
      <c r="M10" s="3955"/>
    </row>
    <row r="11" spans="1:26" ht="44.25" customHeight="1">
      <c r="A11" s="3959" t="s">
        <v>4603</v>
      </c>
      <c r="B11" s="3959"/>
      <c r="C11" s="3959"/>
      <c r="D11" s="3959"/>
      <c r="E11" s="3959"/>
      <c r="F11" s="3959"/>
      <c r="G11" s="3959"/>
      <c r="H11" s="3959"/>
      <c r="I11" s="3959"/>
      <c r="J11" s="3959"/>
      <c r="K11" s="3959"/>
      <c r="L11" s="3959"/>
      <c r="M11" s="3959"/>
    </row>
    <row r="12" spans="1:26" ht="3" customHeight="1">
      <c r="A12" s="3955"/>
      <c r="B12" s="3955"/>
      <c r="C12" s="3955"/>
      <c r="D12" s="3955"/>
      <c r="E12" s="3955"/>
      <c r="F12" s="3955"/>
      <c r="G12" s="3955"/>
      <c r="H12" s="3955"/>
      <c r="I12" s="3955"/>
      <c r="J12" s="3955"/>
      <c r="K12" s="3955"/>
      <c r="L12" s="3955"/>
      <c r="M12" s="3955"/>
    </row>
    <row r="13" spans="1:26" ht="96" customHeight="1">
      <c r="A13" s="2533" t="s">
        <v>1716</v>
      </c>
      <c r="B13" s="3956" t="s">
        <v>3577</v>
      </c>
      <c r="C13" s="3956"/>
      <c r="D13" s="3956"/>
      <c r="E13" s="3956"/>
      <c r="F13" s="3956"/>
      <c r="G13" s="3956"/>
      <c r="H13" s="3956"/>
      <c r="I13" s="3956"/>
      <c r="J13" s="3956"/>
      <c r="K13" s="3956"/>
      <c r="L13" s="3956"/>
      <c r="M13" s="3956"/>
    </row>
    <row r="14" spans="1:26" ht="47.25" customHeight="1">
      <c r="A14" s="2533" t="s">
        <v>1717</v>
      </c>
      <c r="B14" s="3956" t="s">
        <v>3578</v>
      </c>
      <c r="C14" s="3956"/>
      <c r="D14" s="3956"/>
      <c r="E14" s="3956"/>
      <c r="F14" s="3956"/>
      <c r="G14" s="3956"/>
      <c r="H14" s="3956"/>
      <c r="I14" s="3956"/>
      <c r="J14" s="3956"/>
      <c r="K14" s="3956"/>
      <c r="L14" s="3956"/>
      <c r="M14" s="3956"/>
    </row>
    <row r="15" spans="1:26" ht="117" customHeight="1">
      <c r="A15" s="2533" t="s">
        <v>1718</v>
      </c>
      <c r="B15" s="3956" t="s">
        <v>3579</v>
      </c>
      <c r="C15" s="3956"/>
      <c r="D15" s="3956"/>
      <c r="E15" s="3956"/>
      <c r="F15" s="3956"/>
      <c r="G15" s="3956"/>
      <c r="H15" s="3956"/>
      <c r="I15" s="3956"/>
      <c r="J15" s="3956"/>
      <c r="K15" s="3956"/>
      <c r="L15" s="3956"/>
      <c r="M15" s="3956"/>
    </row>
    <row r="16" spans="1:26" ht="147" customHeight="1">
      <c r="A16" s="2533" t="s">
        <v>2336</v>
      </c>
      <c r="B16" s="3956" t="s">
        <v>3391</v>
      </c>
      <c r="C16" s="3956"/>
      <c r="D16" s="3956"/>
      <c r="E16" s="3956"/>
      <c r="F16" s="3956"/>
      <c r="G16" s="3956"/>
      <c r="H16" s="3956"/>
      <c r="I16" s="3956"/>
      <c r="J16" s="3956"/>
      <c r="K16" s="3956"/>
      <c r="L16" s="3956"/>
      <c r="M16" s="3956"/>
    </row>
    <row r="17" spans="1:13" ht="48.75" customHeight="1">
      <c r="A17" s="2533" t="s">
        <v>1530</v>
      </c>
      <c r="B17" s="3956" t="s">
        <v>672</v>
      </c>
      <c r="C17" s="3956"/>
      <c r="D17" s="3956"/>
      <c r="E17" s="3956"/>
      <c r="F17" s="3956"/>
      <c r="G17" s="3956"/>
      <c r="H17" s="3956"/>
      <c r="I17" s="3956"/>
      <c r="J17" s="3956"/>
      <c r="K17" s="3956"/>
      <c r="L17" s="3956"/>
      <c r="M17" s="3956"/>
    </row>
    <row r="18" spans="1:13" ht="165" customHeight="1">
      <c r="A18" s="2533" t="s">
        <v>1531</v>
      </c>
      <c r="B18" s="3956" t="s">
        <v>3390</v>
      </c>
      <c r="C18" s="3956"/>
      <c r="D18" s="3956"/>
      <c r="E18" s="3956"/>
      <c r="F18" s="3956"/>
      <c r="G18" s="3956"/>
      <c r="H18" s="3956"/>
      <c r="I18" s="3956"/>
      <c r="J18" s="3956"/>
      <c r="K18" s="3956"/>
      <c r="L18" s="3956"/>
      <c r="M18" s="3956"/>
    </row>
    <row r="19" spans="1:13" ht="48.75" customHeight="1">
      <c r="A19" s="2533" t="s">
        <v>96</v>
      </c>
      <c r="B19" s="3957" t="s">
        <v>3580</v>
      </c>
      <c r="C19" s="3957"/>
      <c r="D19" s="3957"/>
      <c r="E19" s="3957"/>
      <c r="F19" s="3957"/>
      <c r="G19" s="3957"/>
      <c r="H19" s="3957"/>
      <c r="I19" s="3957"/>
      <c r="J19" s="3957"/>
      <c r="K19" s="3957"/>
      <c r="L19" s="3957"/>
      <c r="M19" s="3957"/>
    </row>
    <row r="20" spans="1:13" ht="50.25" customHeight="1">
      <c r="A20" s="2533" t="s">
        <v>506</v>
      </c>
      <c r="B20" s="3956" t="s">
        <v>3393</v>
      </c>
      <c r="C20" s="3956"/>
      <c r="D20" s="3956"/>
      <c r="E20" s="3956"/>
      <c r="F20" s="3956"/>
      <c r="G20" s="3956"/>
      <c r="H20" s="3956"/>
      <c r="I20" s="3956"/>
      <c r="J20" s="3956"/>
      <c r="K20" s="3956"/>
      <c r="L20" s="3956"/>
      <c r="M20" s="3956"/>
    </row>
    <row r="21" spans="1:13" ht="31.5" customHeight="1">
      <c r="A21" s="2533" t="s">
        <v>507</v>
      </c>
      <c r="B21" s="3956" t="s">
        <v>3416</v>
      </c>
      <c r="C21" s="3956"/>
      <c r="D21" s="3956"/>
      <c r="E21" s="3956"/>
      <c r="F21" s="3956"/>
      <c r="G21" s="3956"/>
      <c r="H21" s="3956"/>
      <c r="I21" s="3956"/>
      <c r="J21" s="3956"/>
      <c r="K21" s="3956"/>
      <c r="L21" s="3956"/>
      <c r="M21" s="3956"/>
    </row>
    <row r="22" spans="1:13" ht="1.5" customHeight="1">
      <c r="A22" s="3955"/>
      <c r="B22" s="3955"/>
      <c r="C22" s="3955"/>
      <c r="D22" s="3955"/>
      <c r="E22" s="3955"/>
      <c r="F22" s="3955"/>
      <c r="G22" s="3955"/>
      <c r="H22" s="3955"/>
      <c r="I22" s="3955"/>
      <c r="J22" s="3955"/>
      <c r="K22" s="3955"/>
      <c r="L22" s="3955"/>
      <c r="M22" s="3955"/>
    </row>
    <row r="23" spans="1:13" ht="3" customHeight="1">
      <c r="A23" s="3955"/>
      <c r="B23" s="3955"/>
      <c r="C23" s="3955"/>
      <c r="D23" s="3955"/>
      <c r="E23" s="3955"/>
      <c r="F23" s="3955"/>
      <c r="G23" s="3955"/>
      <c r="H23" s="3955"/>
      <c r="I23" s="3955"/>
      <c r="J23" s="3955"/>
      <c r="K23" s="3955"/>
      <c r="L23" s="3955"/>
      <c r="M23" s="3955"/>
    </row>
    <row r="24" spans="1:13" ht="13.5" customHeight="1">
      <c r="A24" s="3955" t="s">
        <v>1449</v>
      </c>
      <c r="B24" s="3955"/>
      <c r="C24" s="3955"/>
      <c r="D24" s="3955"/>
      <c r="E24" s="3955"/>
      <c r="F24" s="3955"/>
      <c r="G24" s="3955"/>
      <c r="H24" s="3955"/>
      <c r="I24" s="3955"/>
      <c r="J24" s="3955"/>
      <c r="K24" s="3955"/>
      <c r="L24" s="3955"/>
      <c r="M24" s="3955"/>
    </row>
    <row r="25" spans="1:13" ht="32.25" customHeight="1">
      <c r="A25" s="2533" t="s">
        <v>1450</v>
      </c>
      <c r="B25" s="3956" t="s">
        <v>3417</v>
      </c>
      <c r="C25" s="3956"/>
      <c r="D25" s="3956"/>
      <c r="E25" s="3956"/>
      <c r="F25" s="3956"/>
      <c r="G25" s="3956"/>
      <c r="H25" s="3956"/>
      <c r="I25" s="3956"/>
      <c r="J25" s="3956"/>
      <c r="K25" s="3956"/>
      <c r="L25" s="3956"/>
      <c r="M25" s="3956"/>
    </row>
    <row r="26" spans="1:13" ht="31.5" customHeight="1">
      <c r="A26" s="2533" t="s">
        <v>1450</v>
      </c>
      <c r="B26" s="3956" t="s">
        <v>3418</v>
      </c>
      <c r="C26" s="3956"/>
      <c r="D26" s="3956"/>
      <c r="E26" s="3956"/>
      <c r="F26" s="3956"/>
      <c r="G26" s="3956"/>
      <c r="H26" s="3956"/>
      <c r="I26" s="3956"/>
      <c r="J26" s="3956"/>
      <c r="K26" s="3956"/>
      <c r="L26" s="3956"/>
      <c r="M26" s="3956"/>
    </row>
    <row r="27" spans="1:13" ht="78.75" customHeight="1">
      <c r="A27" s="2533" t="s">
        <v>1450</v>
      </c>
      <c r="B27" s="3956" t="s">
        <v>2707</v>
      </c>
      <c r="C27" s="3956"/>
      <c r="D27" s="3956"/>
      <c r="E27" s="3956"/>
      <c r="F27" s="3956"/>
      <c r="G27" s="3956"/>
      <c r="H27" s="3956"/>
      <c r="I27" s="3956"/>
      <c r="J27" s="3956"/>
      <c r="K27" s="3956"/>
      <c r="L27" s="3956"/>
      <c r="M27" s="3956"/>
    </row>
    <row r="28" spans="1:13" ht="7.5" customHeight="1">
      <c r="A28" s="3955"/>
      <c r="B28" s="3955"/>
      <c r="C28" s="3955"/>
      <c r="D28" s="3955"/>
      <c r="E28" s="3955"/>
      <c r="F28" s="3955"/>
      <c r="G28" s="3955"/>
      <c r="H28" s="3955"/>
      <c r="I28" s="3955"/>
      <c r="J28" s="3955"/>
      <c r="K28" s="3955"/>
      <c r="L28" s="3955"/>
      <c r="M28" s="3955"/>
    </row>
    <row r="29" spans="1:13" ht="43.5" customHeight="1">
      <c r="A29" s="3956" t="s">
        <v>933</v>
      </c>
      <c r="B29" s="3956"/>
      <c r="C29" s="3956"/>
      <c r="D29" s="3956"/>
      <c r="E29" s="3956"/>
      <c r="F29" s="3956"/>
      <c r="G29" s="3956"/>
      <c r="H29" s="3956"/>
      <c r="I29" s="3956"/>
      <c r="J29" s="3956"/>
      <c r="K29" s="3956"/>
      <c r="L29" s="3956"/>
      <c r="M29" s="3956"/>
    </row>
    <row r="30" spans="1:13" ht="3" customHeight="1">
      <c r="A30" s="3955"/>
      <c r="B30" s="3955"/>
      <c r="C30" s="3955"/>
      <c r="D30" s="3955"/>
      <c r="E30" s="3955"/>
      <c r="F30" s="3955"/>
      <c r="G30" s="3955"/>
      <c r="H30" s="3955"/>
      <c r="I30" s="3955"/>
      <c r="J30" s="3955"/>
      <c r="K30" s="3955"/>
      <c r="L30" s="3955"/>
      <c r="M30" s="3955"/>
    </row>
    <row r="31" spans="1:13" ht="32.25" customHeight="1">
      <c r="A31" s="3956" t="s">
        <v>2708</v>
      </c>
      <c r="B31" s="3956"/>
      <c r="C31" s="3956"/>
      <c r="D31" s="3956"/>
      <c r="E31" s="3956"/>
      <c r="F31" s="3956"/>
      <c r="G31" s="3956"/>
      <c r="H31" s="3956"/>
      <c r="I31" s="3956"/>
      <c r="J31" s="3956"/>
      <c r="K31" s="3956"/>
      <c r="L31" s="3956"/>
      <c r="M31" s="3956"/>
    </row>
    <row r="32" spans="1:13" ht="4.5" customHeight="1">
      <c r="A32" s="3955"/>
      <c r="B32" s="3955"/>
      <c r="C32" s="3955"/>
      <c r="D32" s="3955"/>
      <c r="E32" s="3955"/>
      <c r="F32" s="3955"/>
      <c r="G32" s="3955"/>
      <c r="H32" s="3955"/>
      <c r="I32" s="3955"/>
      <c r="J32" s="3955"/>
      <c r="K32" s="3955"/>
      <c r="L32" s="3955"/>
      <c r="M32" s="3955"/>
    </row>
    <row r="33" spans="1:13">
      <c r="A33" s="3955" t="s">
        <v>909</v>
      </c>
      <c r="B33" s="3955"/>
      <c r="C33" s="3955"/>
      <c r="D33" s="3955"/>
      <c r="E33" s="3955"/>
      <c r="F33" s="3955"/>
      <c r="G33" s="3955"/>
      <c r="H33" s="3955"/>
      <c r="I33" s="3955"/>
      <c r="J33" s="3955"/>
      <c r="K33" s="3955"/>
      <c r="L33" s="3955"/>
      <c r="M33" s="3955"/>
    </row>
    <row r="34" spans="1:13" ht="6" customHeight="1">
      <c r="A34" s="2534"/>
      <c r="B34" s="2534"/>
      <c r="C34" s="2534"/>
      <c r="D34" s="2534"/>
      <c r="E34" s="2534"/>
      <c r="F34" s="2534"/>
      <c r="G34" s="2534"/>
      <c r="H34" s="2534"/>
      <c r="I34" s="2534"/>
      <c r="J34" s="2534"/>
      <c r="K34" s="2534"/>
      <c r="L34" s="2534"/>
      <c r="M34" s="2534"/>
    </row>
    <row r="35" spans="1:13">
      <c r="A35" s="3951"/>
      <c r="B35" s="3951"/>
      <c r="C35" s="3951"/>
      <c r="D35" s="3951"/>
      <c r="E35" s="3951"/>
      <c r="F35" s="3951"/>
      <c r="G35" s="2535"/>
      <c r="H35" s="3951"/>
      <c r="I35" s="3951"/>
      <c r="J35" s="3951"/>
      <c r="K35" s="3951"/>
      <c r="L35" s="3951"/>
      <c r="M35" s="3951"/>
    </row>
    <row r="36" spans="1:13" ht="12" customHeight="1">
      <c r="A36" s="3953" t="s">
        <v>910</v>
      </c>
      <c r="B36" s="3953"/>
      <c r="C36" s="3953"/>
      <c r="D36" s="3953"/>
      <c r="E36" s="3953"/>
      <c r="F36" s="3953"/>
      <c r="G36" s="2535"/>
      <c r="H36" s="3953" t="s">
        <v>1954</v>
      </c>
      <c r="I36" s="3953"/>
      <c r="J36" s="3953"/>
      <c r="K36" s="3953"/>
      <c r="L36" s="3953"/>
      <c r="M36" s="3953"/>
    </row>
    <row r="37" spans="1:13" ht="6" customHeight="1">
      <c r="A37" s="2535"/>
      <c r="B37" s="2535"/>
      <c r="C37" s="2535"/>
      <c r="D37" s="2535"/>
      <c r="E37" s="2535"/>
      <c r="F37" s="2535"/>
      <c r="G37" s="2535"/>
      <c r="H37" s="2535"/>
      <c r="I37" s="2535"/>
      <c r="J37" s="2535"/>
      <c r="K37" s="2535"/>
      <c r="L37" s="2535"/>
      <c r="M37" s="2535"/>
    </row>
    <row r="38" spans="1:13">
      <c r="A38" s="3951"/>
      <c r="B38" s="3951"/>
      <c r="C38" s="3951"/>
      <c r="D38" s="3951"/>
      <c r="E38" s="3951"/>
      <c r="F38" s="3951"/>
      <c r="G38" s="2535"/>
      <c r="H38" s="3952"/>
      <c r="I38" s="3952"/>
      <c r="J38" s="3952"/>
      <c r="K38" s="3952"/>
      <c r="L38" s="3952"/>
      <c r="M38" s="3952"/>
    </row>
    <row r="39" spans="1:13" ht="12" customHeight="1">
      <c r="A39" s="3953" t="s">
        <v>911</v>
      </c>
      <c r="B39" s="3953"/>
      <c r="C39" s="3953"/>
      <c r="D39" s="3953"/>
      <c r="E39" s="3953"/>
      <c r="F39" s="3953"/>
      <c r="G39" s="2535"/>
      <c r="H39" s="3953" t="s">
        <v>912</v>
      </c>
      <c r="I39" s="3953"/>
      <c r="J39" s="3953"/>
      <c r="K39" s="3953"/>
      <c r="L39" s="3953"/>
      <c r="M39" s="3953"/>
    </row>
    <row r="40" spans="1:13" ht="3" customHeight="1">
      <c r="A40" s="2536"/>
      <c r="B40" s="2536"/>
      <c r="C40" s="2536"/>
      <c r="D40" s="2536"/>
      <c r="E40" s="2536"/>
      <c r="F40" s="2536"/>
      <c r="G40" s="2535"/>
      <c r="H40" s="2536"/>
      <c r="I40" s="2536"/>
      <c r="J40" s="2536"/>
      <c r="K40" s="2536"/>
      <c r="L40" s="2536"/>
      <c r="M40" s="2536"/>
    </row>
    <row r="41" spans="1:13" ht="11.4" customHeight="1">
      <c r="A41" s="2531"/>
      <c r="B41" s="2531"/>
      <c r="C41" s="2531"/>
      <c r="D41" s="2531"/>
      <c r="E41" s="2531"/>
      <c r="F41" s="2531"/>
      <c r="G41" s="2531"/>
      <c r="H41" s="3954" t="s">
        <v>913</v>
      </c>
      <c r="I41" s="3954"/>
      <c r="J41" s="3954"/>
      <c r="K41" s="3954"/>
      <c r="L41" s="3954"/>
      <c r="M41" s="3954"/>
    </row>
    <row r="42" spans="1:13" ht="11.4" customHeight="1">
      <c r="A42" s="2531"/>
      <c r="B42" s="2531"/>
      <c r="C42" s="2531"/>
      <c r="D42" s="2531"/>
      <c r="E42" s="2531"/>
      <c r="F42" s="2531"/>
      <c r="G42" s="2531"/>
    </row>
    <row r="43" spans="1:13" ht="11.4" customHeight="1">
      <c r="A43" s="2531"/>
      <c r="B43" s="2531"/>
      <c r="C43" s="2531"/>
      <c r="D43" s="2531"/>
      <c r="E43" s="2531"/>
      <c r="F43" s="2531"/>
      <c r="G43" s="2531"/>
      <c r="H43" s="2531"/>
      <c r="I43" s="2531"/>
      <c r="J43" s="2531"/>
      <c r="K43" s="2531"/>
      <c r="L43" s="2531"/>
      <c r="M43" s="2531"/>
    </row>
    <row r="44" spans="1:13" ht="11.4" customHeight="1">
      <c r="A44" s="2531"/>
      <c r="B44" s="2531"/>
      <c r="C44" s="2531"/>
      <c r="D44" s="2531"/>
      <c r="E44" s="2531"/>
      <c r="F44" s="2531"/>
      <c r="G44" s="2531"/>
      <c r="H44" s="2531"/>
      <c r="I44" s="2531"/>
      <c r="J44" s="2531"/>
      <c r="K44" s="2531"/>
      <c r="L44" s="2531"/>
      <c r="M44" s="2531"/>
    </row>
    <row r="45" spans="1:13" ht="11.4" customHeight="1"/>
    <row r="46" spans="1:13" ht="11.4" customHeight="1"/>
    <row r="47" spans="1:13" ht="11.4" customHeight="1"/>
    <row r="48" spans="1:13" ht="11.4" customHeight="1"/>
    <row r="49" ht="11.4" customHeight="1"/>
  </sheetData>
  <sheetProtection algorithmName="SHA-512" hashValue="zhnCAA3qQziLDa6a+IfISAR/94Kh24m5F2T+zHYp5OI4mQ3Ss/m8fuY91gEFsY+7WzBGkKw/2vV4eHVBJMeopA==" saltValue="IGWPPxKZXnmub+Lw+Xxyc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8" zoomScale="120" zoomScaleNormal="120" workbookViewId="0">
      <selection activeCell="H158" sqref="H158:H317"/>
    </sheetView>
  </sheetViews>
  <sheetFormatPr defaultColWidth="8.88671875" defaultRowHeight="13.2"/>
  <cols>
    <col min="1" max="1" width="1.88671875" style="26" customWidth="1"/>
    <col min="2" max="2" width="5.109375" style="26" customWidth="1"/>
    <col min="3" max="3" width="9.88671875" style="26" customWidth="1"/>
    <col min="4" max="6" width="7.88671875" style="26" customWidth="1"/>
    <col min="7" max="7" width="10.88671875" style="26" customWidth="1"/>
    <col min="8" max="8" width="7.88671875" style="26" customWidth="1"/>
    <col min="9" max="9" width="17.5546875" style="26" customWidth="1"/>
    <col min="10" max="10" width="7.88671875" style="26" customWidth="1"/>
    <col min="11" max="11" width="7.109375" style="26" customWidth="1"/>
    <col min="12" max="12" width="7.88671875" style="26" customWidth="1"/>
    <col min="13" max="13" width="7.44140625" style="26" customWidth="1"/>
    <col min="14" max="16" width="7.88671875" style="26" customWidth="1"/>
    <col min="17" max="17" width="8.109375" style="26" customWidth="1"/>
    <col min="18" max="18" width="8.44140625" style="26" customWidth="1"/>
    <col min="19" max="26" width="8.88671875" style="26"/>
    <col min="27" max="28" width="8.88671875" style="512"/>
    <col min="29" max="16384" width="8.8867187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35" customHeight="1">
      <c r="A2" s="3969" t="s">
        <v>710</v>
      </c>
      <c r="B2" s="3970"/>
      <c r="C2" s="3970"/>
      <c r="D2" s="3970"/>
      <c r="E2" s="3970"/>
      <c r="F2" s="3970"/>
      <c r="G2" s="3970"/>
      <c r="H2" s="3970"/>
      <c r="I2" s="3970"/>
      <c r="J2" s="3970"/>
      <c r="K2" s="3970"/>
      <c r="L2" s="3970"/>
      <c r="M2" s="3970"/>
      <c r="N2" s="3970"/>
      <c r="O2" s="3970"/>
      <c r="P2" s="3970"/>
      <c r="Q2" s="3970"/>
      <c r="R2" s="3971"/>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1706</v>
      </c>
      <c r="B4" s="272"/>
      <c r="C4" s="272"/>
      <c r="D4" s="168"/>
      <c r="E4" s="168"/>
      <c r="F4" s="272" t="s">
        <v>1707</v>
      </c>
      <c r="G4" s="272"/>
      <c r="H4" s="168"/>
      <c r="I4" s="168"/>
      <c r="J4" s="272" t="s">
        <v>1708</v>
      </c>
      <c r="K4" s="272"/>
      <c r="L4" s="272"/>
      <c r="M4" s="272"/>
      <c r="N4" s="272"/>
      <c r="O4" s="272"/>
      <c r="P4" s="168"/>
      <c r="Q4" s="171" t="s">
        <v>2987</v>
      </c>
      <c r="R4" s="171" t="s">
        <v>1709</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 customHeight="1">
      <c r="A6" s="276" t="s">
        <v>1710</v>
      </c>
      <c r="B6" s="170"/>
      <c r="C6" s="170"/>
      <c r="D6" s="168"/>
      <c r="E6" s="168"/>
      <c r="F6" s="170" t="s">
        <v>503</v>
      </c>
      <c r="G6" s="170"/>
      <c r="H6" s="168"/>
      <c r="I6" s="168"/>
      <c r="J6" s="170" t="s">
        <v>1711</v>
      </c>
      <c r="K6" s="170"/>
      <c r="L6" s="170" t="s">
        <v>2739</v>
      </c>
      <c r="M6" s="170"/>
      <c r="N6" s="170"/>
      <c r="O6" s="170"/>
      <c r="P6" s="168"/>
      <c r="Q6" s="1058" t="s">
        <v>1712</v>
      </c>
      <c r="R6" s="1058">
        <v>1000000</v>
      </c>
      <c r="S6" s="168"/>
      <c r="U6" s="168"/>
      <c r="V6" s="936"/>
      <c r="W6" s="936"/>
      <c r="X6" s="171"/>
      <c r="AA6" s="512"/>
      <c r="AB6" s="512"/>
    </row>
    <row r="7" spans="1:28" s="271" customFormat="1" ht="11.4" customHeight="1">
      <c r="A7" s="276"/>
      <c r="B7" s="170"/>
      <c r="C7" s="170"/>
      <c r="D7" s="168"/>
      <c r="E7" s="168"/>
      <c r="F7" s="170"/>
      <c r="G7" s="170"/>
      <c r="H7" s="168"/>
      <c r="I7" s="168"/>
      <c r="J7" s="170"/>
      <c r="K7" s="170"/>
      <c r="L7" s="170" t="s">
        <v>2741</v>
      </c>
      <c r="M7" s="170"/>
      <c r="N7" s="170"/>
      <c r="O7" s="170"/>
      <c r="P7" s="168"/>
      <c r="Q7" s="1064" t="s">
        <v>1712</v>
      </c>
      <c r="R7" s="637">
        <v>900000</v>
      </c>
      <c r="S7" s="168"/>
      <c r="U7" s="168"/>
      <c r="V7" s="936"/>
      <c r="W7" s="936"/>
      <c r="X7" s="171"/>
      <c r="AA7" s="512"/>
      <c r="AB7" s="512"/>
    </row>
    <row r="8" spans="1:28" s="271" customFormat="1" ht="11.4" customHeight="1">
      <c r="F8" s="170"/>
      <c r="G8" s="170"/>
      <c r="H8" s="168"/>
      <c r="I8" s="168"/>
      <c r="J8" s="170" t="s">
        <v>1241</v>
      </c>
      <c r="K8" s="170"/>
      <c r="L8" s="170"/>
      <c r="M8" s="170"/>
      <c r="N8" s="170"/>
      <c r="O8" s="170"/>
      <c r="P8" s="168"/>
      <c r="Q8" s="1058" t="s">
        <v>1712</v>
      </c>
      <c r="R8" s="1058">
        <v>1800000</v>
      </c>
      <c r="S8" s="168"/>
      <c r="T8" s="168"/>
      <c r="U8" s="168"/>
      <c r="V8" s="936"/>
      <c r="W8" s="936"/>
      <c r="X8" s="171"/>
      <c r="AA8" s="512"/>
      <c r="AB8" s="512"/>
    </row>
    <row r="9" spans="1:28" s="271" customFormat="1" ht="11.4" customHeight="1">
      <c r="F9" s="170" t="s">
        <v>2378</v>
      </c>
      <c r="G9" s="170"/>
      <c r="H9" s="168"/>
      <c r="I9" s="168"/>
      <c r="J9" s="170" t="s">
        <v>1741</v>
      </c>
      <c r="K9" s="170"/>
      <c r="L9" s="170"/>
      <c r="M9" s="170"/>
      <c r="N9" s="170"/>
      <c r="O9" s="170"/>
      <c r="P9" s="168"/>
      <c r="Q9" s="1058">
        <v>1000000</v>
      </c>
      <c r="R9" s="1058">
        <v>2000000</v>
      </c>
      <c r="S9" s="277"/>
      <c r="T9" s="277"/>
      <c r="U9" s="168"/>
      <c r="V9" s="987"/>
      <c r="W9" s="987"/>
      <c r="X9" s="987"/>
      <c r="AA9" s="512"/>
      <c r="AB9" s="512"/>
    </row>
    <row r="10" spans="1:28" s="271" customFormat="1" ht="11.4" customHeight="1">
      <c r="F10" s="170"/>
      <c r="G10" s="170"/>
      <c r="H10" s="168"/>
      <c r="I10" s="168"/>
      <c r="J10" s="170" t="s">
        <v>2354</v>
      </c>
      <c r="K10" s="170"/>
      <c r="L10" s="170"/>
      <c r="M10" s="170"/>
      <c r="N10" s="170"/>
      <c r="O10" s="170"/>
      <c r="P10" s="168"/>
      <c r="Q10" s="1058" t="s">
        <v>1712</v>
      </c>
      <c r="R10" s="1057">
        <v>0.25</v>
      </c>
      <c r="S10" s="168"/>
      <c r="T10" s="168"/>
      <c r="U10" s="168"/>
      <c r="V10" s="936"/>
      <c r="W10" s="936"/>
      <c r="X10" s="171"/>
      <c r="AA10" s="512"/>
      <c r="AB10" s="512"/>
    </row>
    <row r="11" spans="1:28" s="271" customFormat="1" ht="11.4" customHeight="1">
      <c r="A11" s="170"/>
      <c r="B11" s="170"/>
      <c r="C11" s="170"/>
      <c r="D11" s="168"/>
      <c r="E11" s="168"/>
      <c r="F11" s="170" t="s">
        <v>3535</v>
      </c>
      <c r="G11" s="170"/>
      <c r="H11" s="168"/>
      <c r="I11" s="168"/>
      <c r="J11" s="565" t="s">
        <v>3536</v>
      </c>
      <c r="K11" s="281"/>
      <c r="M11" s="281"/>
      <c r="N11" s="281"/>
      <c r="O11" s="170"/>
      <c r="Q11" s="279"/>
      <c r="R11" s="279"/>
      <c r="S11" s="292"/>
      <c r="T11" s="168"/>
      <c r="U11" s="168"/>
      <c r="V11" s="987"/>
      <c r="W11" s="987"/>
      <c r="X11" s="987"/>
      <c r="AA11" s="512"/>
      <c r="AB11" s="512"/>
    </row>
    <row r="12" spans="1:28" s="271" customFormat="1" ht="11.4"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4" customHeight="1">
      <c r="A13" s="170"/>
      <c r="B13" s="170"/>
      <c r="C13" s="170"/>
      <c r="D13" s="1504">
        <v>2018</v>
      </c>
      <c r="E13" s="168"/>
      <c r="F13" s="3972" t="s">
        <v>3302</v>
      </c>
      <c r="G13" s="3973"/>
      <c r="H13" s="3973"/>
      <c r="I13" s="3973"/>
      <c r="J13" s="3974"/>
      <c r="K13" s="281"/>
      <c r="L13" s="566" t="s">
        <v>3508</v>
      </c>
      <c r="M13" s="281"/>
      <c r="N13" s="3972" t="s">
        <v>3302</v>
      </c>
      <c r="O13" s="3973"/>
      <c r="P13" s="3973"/>
      <c r="Q13" s="3973"/>
      <c r="R13" s="3974"/>
      <c r="S13" s="292"/>
      <c r="T13" s="168"/>
      <c r="U13" s="168"/>
      <c r="V13" s="987"/>
      <c r="W13" s="987"/>
      <c r="X13" s="987"/>
      <c r="AA13" s="512"/>
      <c r="AB13" s="512"/>
    </row>
    <row r="14" spans="1:28" s="271" customFormat="1" ht="11.4" customHeight="1">
      <c r="A14" s="170"/>
      <c r="D14" s="567" t="s">
        <v>2579</v>
      </c>
      <c r="E14" s="567" t="s">
        <v>1281</v>
      </c>
      <c r="F14" s="568">
        <v>0</v>
      </c>
      <c r="G14" s="569">
        <v>1</v>
      </c>
      <c r="H14" s="1056">
        <v>2</v>
      </c>
      <c r="I14" s="1056">
        <v>3</v>
      </c>
      <c r="J14" s="570" t="s">
        <v>3299</v>
      </c>
      <c r="L14" s="567" t="s">
        <v>2579</v>
      </c>
      <c r="M14" s="567" t="s">
        <v>1281</v>
      </c>
      <c r="N14" s="568">
        <v>0</v>
      </c>
      <c r="O14" s="569">
        <v>1</v>
      </c>
      <c r="P14" s="1056">
        <v>2</v>
      </c>
      <c r="Q14" s="1056">
        <v>3</v>
      </c>
      <c r="R14" s="570" t="s">
        <v>3299</v>
      </c>
      <c r="S14" s="292"/>
      <c r="T14" s="168"/>
      <c r="U14" s="168"/>
      <c r="V14" s="987"/>
      <c r="W14" s="987"/>
      <c r="X14" s="987"/>
      <c r="AA14" s="512"/>
      <c r="AB14" s="512"/>
    </row>
    <row r="15" spans="1:28" s="271" customFormat="1" ht="11.4" customHeight="1">
      <c r="A15" s="170"/>
      <c r="C15" s="312"/>
      <c r="D15" s="1007" t="s">
        <v>1760</v>
      </c>
      <c r="E15" s="1007" t="s">
        <v>3301</v>
      </c>
      <c r="F15" s="1008">
        <v>137262</v>
      </c>
      <c r="G15" s="1008">
        <v>177349</v>
      </c>
      <c r="H15" s="1008">
        <v>212078</v>
      </c>
      <c r="I15" s="1008">
        <v>252716</v>
      </c>
      <c r="J15" s="1008">
        <v>297120</v>
      </c>
      <c r="L15" s="292" t="s">
        <v>1760</v>
      </c>
      <c r="M15" s="292" t="s">
        <v>3301</v>
      </c>
      <c r="N15" s="1074">
        <f t="shared" ref="N15:R30" si="0">ROUNDDOWN(F15*1.1,0)</f>
        <v>150988</v>
      </c>
      <c r="O15" s="1074">
        <f t="shared" si="0"/>
        <v>195083</v>
      </c>
      <c r="P15" s="1074">
        <f t="shared" si="0"/>
        <v>233285</v>
      </c>
      <c r="Q15" s="1074">
        <f t="shared" si="0"/>
        <v>277987</v>
      </c>
      <c r="R15" s="1074">
        <f t="shared" si="0"/>
        <v>326832</v>
      </c>
      <c r="S15" s="292"/>
      <c r="T15" s="168"/>
      <c r="U15" s="168"/>
      <c r="V15" s="987"/>
      <c r="W15" s="987"/>
      <c r="X15" s="987"/>
      <c r="AA15" s="512"/>
      <c r="AB15" s="512"/>
    </row>
    <row r="16" spans="1:28" s="271" customFormat="1" ht="11.4" customHeight="1">
      <c r="A16" s="170"/>
      <c r="C16" s="312"/>
      <c r="D16" s="1007" t="s">
        <v>1760</v>
      </c>
      <c r="E16" s="1007" t="s">
        <v>3298</v>
      </c>
      <c r="F16" s="1008">
        <v>107293</v>
      </c>
      <c r="G16" s="1008">
        <v>150210</v>
      </c>
      <c r="H16" s="1008">
        <v>193128</v>
      </c>
      <c r="I16" s="1008">
        <v>257504</v>
      </c>
      <c r="J16" s="1008">
        <v>321879</v>
      </c>
      <c r="L16" s="292" t="s">
        <v>1760</v>
      </c>
      <c r="M16" s="292" t="s">
        <v>3298</v>
      </c>
      <c r="N16" s="1074">
        <f t="shared" si="0"/>
        <v>118022</v>
      </c>
      <c r="O16" s="1074">
        <f t="shared" si="0"/>
        <v>165231</v>
      </c>
      <c r="P16" s="1074">
        <f t="shared" si="0"/>
        <v>212440</v>
      </c>
      <c r="Q16" s="1074">
        <f t="shared" si="0"/>
        <v>283254</v>
      </c>
      <c r="R16" s="1074">
        <f t="shared" si="0"/>
        <v>354066</v>
      </c>
      <c r="S16" s="292"/>
      <c r="T16" s="168"/>
      <c r="U16" s="168"/>
      <c r="V16" s="987"/>
      <c r="W16" s="987"/>
      <c r="X16" s="987"/>
      <c r="AA16" s="512"/>
      <c r="AB16" s="512"/>
    </row>
    <row r="17" spans="1:28" s="271" customFormat="1" ht="11.4" customHeight="1">
      <c r="A17" s="170"/>
      <c r="C17" s="312"/>
      <c r="D17" s="1007" t="s">
        <v>1760</v>
      </c>
      <c r="E17" s="1007" t="s">
        <v>3296</v>
      </c>
      <c r="F17" s="1008">
        <v>121714</v>
      </c>
      <c r="G17" s="1008">
        <v>158836</v>
      </c>
      <c r="H17" s="1008">
        <v>192451</v>
      </c>
      <c r="I17" s="1008">
        <v>234909</v>
      </c>
      <c r="J17" s="1008">
        <v>278528</v>
      </c>
      <c r="L17" s="292" t="s">
        <v>1760</v>
      </c>
      <c r="M17" s="292" t="s">
        <v>3296</v>
      </c>
      <c r="N17" s="1074">
        <f t="shared" si="0"/>
        <v>133885</v>
      </c>
      <c r="O17" s="1074">
        <f t="shared" si="0"/>
        <v>174719</v>
      </c>
      <c r="P17" s="1074">
        <f t="shared" si="0"/>
        <v>211696</v>
      </c>
      <c r="Q17" s="1074">
        <f t="shared" si="0"/>
        <v>258399</v>
      </c>
      <c r="R17" s="1074">
        <f t="shared" si="0"/>
        <v>306380</v>
      </c>
      <c r="S17" s="292"/>
      <c r="T17" s="168"/>
      <c r="U17" s="168"/>
      <c r="V17" s="987"/>
      <c r="W17" s="987"/>
      <c r="X17" s="987"/>
      <c r="AA17" s="512"/>
      <c r="AB17" s="512"/>
    </row>
    <row r="18" spans="1:28" s="271" customFormat="1" ht="11.4" customHeight="1">
      <c r="A18" s="170"/>
      <c r="C18" s="312"/>
      <c r="D18" s="1007" t="s">
        <v>1760</v>
      </c>
      <c r="E18" s="1007" t="s">
        <v>3297</v>
      </c>
      <c r="F18" s="1008">
        <v>107065</v>
      </c>
      <c r="G18" s="1008">
        <v>146199</v>
      </c>
      <c r="H18" s="1008">
        <v>185055</v>
      </c>
      <c r="I18" s="1008">
        <v>243836</v>
      </c>
      <c r="J18" s="1008">
        <v>302233</v>
      </c>
      <c r="L18" s="292" t="s">
        <v>1760</v>
      </c>
      <c r="M18" s="292" t="s">
        <v>3297</v>
      </c>
      <c r="N18" s="1074">
        <f t="shared" si="0"/>
        <v>117771</v>
      </c>
      <c r="O18" s="1074">
        <f t="shared" si="0"/>
        <v>160818</v>
      </c>
      <c r="P18" s="1074">
        <f t="shared" si="0"/>
        <v>203560</v>
      </c>
      <c r="Q18" s="1074">
        <f t="shared" si="0"/>
        <v>268219</v>
      </c>
      <c r="R18" s="1074">
        <f t="shared" si="0"/>
        <v>332456</v>
      </c>
      <c r="S18" s="292"/>
      <c r="T18" s="168"/>
      <c r="U18" s="168"/>
      <c r="V18" s="987"/>
      <c r="W18" s="987"/>
      <c r="X18" s="987"/>
      <c r="AA18" s="512"/>
      <c r="AB18" s="512"/>
    </row>
    <row r="19" spans="1:28" s="271" customFormat="1" ht="11.4" customHeight="1">
      <c r="A19" s="170"/>
      <c r="C19" s="312"/>
      <c r="D19" s="999" t="s">
        <v>164</v>
      </c>
      <c r="E19" s="999" t="s">
        <v>3301</v>
      </c>
      <c r="F19" s="1000">
        <v>135505</v>
      </c>
      <c r="G19" s="1000">
        <v>175180</v>
      </c>
      <c r="H19" s="1000">
        <v>209551</v>
      </c>
      <c r="I19" s="1000">
        <v>249808</v>
      </c>
      <c r="J19" s="1000">
        <v>293789</v>
      </c>
      <c r="L19" s="292" t="s">
        <v>164</v>
      </c>
      <c r="M19" s="292" t="s">
        <v>3301</v>
      </c>
      <c r="N19" s="1074">
        <f t="shared" si="0"/>
        <v>149055</v>
      </c>
      <c r="O19" s="1074">
        <f t="shared" si="0"/>
        <v>192698</v>
      </c>
      <c r="P19" s="1074">
        <f t="shared" si="0"/>
        <v>230506</v>
      </c>
      <c r="Q19" s="1074">
        <f t="shared" si="0"/>
        <v>274788</v>
      </c>
      <c r="R19" s="1074">
        <f t="shared" si="0"/>
        <v>323167</v>
      </c>
      <c r="S19" s="292"/>
      <c r="T19" s="168"/>
      <c r="U19" s="168"/>
      <c r="V19" s="987"/>
      <c r="W19" s="987"/>
      <c r="X19" s="987"/>
      <c r="AA19" s="512"/>
      <c r="AB19" s="512"/>
    </row>
    <row r="20" spans="1:28" s="271" customFormat="1" ht="11.4" customHeight="1">
      <c r="A20" s="170"/>
      <c r="C20" s="312"/>
      <c r="D20" s="999" t="s">
        <v>164</v>
      </c>
      <c r="E20" s="999" t="s">
        <v>3298</v>
      </c>
      <c r="F20" s="1000">
        <v>105897</v>
      </c>
      <c r="G20" s="1000">
        <v>148256</v>
      </c>
      <c r="H20" s="1000">
        <v>190615</v>
      </c>
      <c r="I20" s="1000">
        <v>254153</v>
      </c>
      <c r="J20" s="1000">
        <v>317691</v>
      </c>
      <c r="L20" s="292" t="s">
        <v>164</v>
      </c>
      <c r="M20" s="292" t="s">
        <v>3298</v>
      </c>
      <c r="N20" s="1074">
        <f t="shared" si="0"/>
        <v>116486</v>
      </c>
      <c r="O20" s="1074">
        <f t="shared" si="0"/>
        <v>163081</v>
      </c>
      <c r="P20" s="1074">
        <f t="shared" si="0"/>
        <v>209676</v>
      </c>
      <c r="Q20" s="1074">
        <f t="shared" si="0"/>
        <v>279568</v>
      </c>
      <c r="R20" s="1074">
        <f t="shared" si="0"/>
        <v>349460</v>
      </c>
      <c r="S20" s="292"/>
      <c r="T20" s="168"/>
      <c r="U20" s="168"/>
      <c r="V20" s="987"/>
      <c r="W20" s="987"/>
      <c r="X20" s="987"/>
      <c r="AA20" s="512"/>
      <c r="AB20" s="512"/>
    </row>
    <row r="21" spans="1:28" s="271" customFormat="1" ht="11.4" customHeight="1">
      <c r="A21" s="170"/>
      <c r="C21" s="312"/>
      <c r="D21" s="999" t="s">
        <v>164</v>
      </c>
      <c r="E21" s="999" t="s">
        <v>3296</v>
      </c>
      <c r="F21" s="1000">
        <v>119770</v>
      </c>
      <c r="G21" s="1000">
        <v>156444</v>
      </c>
      <c r="H21" s="1000">
        <v>189688</v>
      </c>
      <c r="I21" s="1000">
        <v>231786</v>
      </c>
      <c r="J21" s="1000">
        <v>274973</v>
      </c>
      <c r="L21" s="292" t="s">
        <v>164</v>
      </c>
      <c r="M21" s="292" t="s">
        <v>3296</v>
      </c>
      <c r="N21" s="1074">
        <f t="shared" si="0"/>
        <v>131747</v>
      </c>
      <c r="O21" s="1074">
        <f t="shared" si="0"/>
        <v>172088</v>
      </c>
      <c r="P21" s="1074">
        <f t="shared" si="0"/>
        <v>208656</v>
      </c>
      <c r="Q21" s="1074">
        <f t="shared" si="0"/>
        <v>254964</v>
      </c>
      <c r="R21" s="1074">
        <f t="shared" si="0"/>
        <v>302470</v>
      </c>
      <c r="S21" s="292"/>
      <c r="T21" s="168"/>
      <c r="U21" s="168"/>
      <c r="V21" s="987"/>
      <c r="W21" s="987"/>
      <c r="X21" s="987"/>
      <c r="AA21" s="512"/>
      <c r="AB21" s="512"/>
    </row>
    <row r="22" spans="1:28" s="271" customFormat="1" ht="11.4" customHeight="1">
      <c r="A22" s="170"/>
      <c r="C22" s="312"/>
      <c r="D22" s="999" t="s">
        <v>164</v>
      </c>
      <c r="E22" s="999" t="s">
        <v>3297</v>
      </c>
      <c r="F22" s="1000">
        <v>104962</v>
      </c>
      <c r="G22" s="1000">
        <v>143211</v>
      </c>
      <c r="H22" s="1000">
        <v>181178</v>
      </c>
      <c r="I22" s="1000">
        <v>238632</v>
      </c>
      <c r="J22" s="1000">
        <v>295697</v>
      </c>
      <c r="L22" s="292" t="s">
        <v>164</v>
      </c>
      <c r="M22" s="292" t="s">
        <v>3297</v>
      </c>
      <c r="N22" s="1074">
        <f t="shared" si="0"/>
        <v>115458</v>
      </c>
      <c r="O22" s="1074">
        <f t="shared" si="0"/>
        <v>157532</v>
      </c>
      <c r="P22" s="1074">
        <f t="shared" si="0"/>
        <v>199295</v>
      </c>
      <c r="Q22" s="1074">
        <f t="shared" si="0"/>
        <v>262495</v>
      </c>
      <c r="R22" s="1074">
        <f t="shared" si="0"/>
        <v>325266</v>
      </c>
      <c r="S22" s="292"/>
      <c r="T22" s="168"/>
      <c r="U22" s="168"/>
      <c r="V22" s="987"/>
      <c r="W22" s="987"/>
      <c r="X22" s="987"/>
      <c r="AA22" s="512"/>
      <c r="AB22" s="512"/>
    </row>
    <row r="23" spans="1:28" s="271" customFormat="1" ht="11.4" customHeight="1">
      <c r="A23" s="170"/>
      <c r="C23" s="312"/>
      <c r="D23" s="997" t="s">
        <v>1190</v>
      </c>
      <c r="E23" s="997" t="s">
        <v>3301</v>
      </c>
      <c r="F23" s="998">
        <v>147803</v>
      </c>
      <c r="G23" s="998">
        <v>191097</v>
      </c>
      <c r="H23" s="998">
        <v>228604</v>
      </c>
      <c r="I23" s="998">
        <v>272539</v>
      </c>
      <c r="J23" s="998">
        <v>320539</v>
      </c>
      <c r="L23" s="565" t="s">
        <v>1190</v>
      </c>
      <c r="M23" s="565" t="s">
        <v>3301</v>
      </c>
      <c r="N23" s="1074">
        <f t="shared" si="0"/>
        <v>162583</v>
      </c>
      <c r="O23" s="1074">
        <f t="shared" si="0"/>
        <v>210206</v>
      </c>
      <c r="P23" s="1074">
        <f t="shared" si="0"/>
        <v>251464</v>
      </c>
      <c r="Q23" s="1074">
        <f t="shared" si="0"/>
        <v>299792</v>
      </c>
      <c r="R23" s="1074">
        <f t="shared" si="0"/>
        <v>352592</v>
      </c>
      <c r="S23" s="292"/>
      <c r="T23" s="168"/>
      <c r="U23" s="168"/>
      <c r="V23" s="987"/>
      <c r="W23" s="987"/>
      <c r="X23" s="987"/>
      <c r="AA23" s="512"/>
      <c r="AB23" s="512"/>
    </row>
    <row r="24" spans="1:28" s="271" customFormat="1" ht="11.4" customHeight="1">
      <c r="A24" s="170"/>
      <c r="C24" s="312"/>
      <c r="D24" s="997" t="s">
        <v>1190</v>
      </c>
      <c r="E24" s="997" t="s">
        <v>3298</v>
      </c>
      <c r="F24" s="998">
        <v>115504</v>
      </c>
      <c r="G24" s="998">
        <v>161705</v>
      </c>
      <c r="H24" s="998">
        <v>207907</v>
      </c>
      <c r="I24" s="998">
        <v>277209</v>
      </c>
      <c r="J24" s="998">
        <v>346512</v>
      </c>
      <c r="L24" s="565" t="s">
        <v>1190</v>
      </c>
      <c r="M24" s="565" t="s">
        <v>3298</v>
      </c>
      <c r="N24" s="1074">
        <f t="shared" si="0"/>
        <v>127054</v>
      </c>
      <c r="O24" s="1074">
        <f t="shared" si="0"/>
        <v>177875</v>
      </c>
      <c r="P24" s="1074">
        <f t="shared" si="0"/>
        <v>228697</v>
      </c>
      <c r="Q24" s="1074">
        <f t="shared" si="0"/>
        <v>304929</v>
      </c>
      <c r="R24" s="1074">
        <f t="shared" si="0"/>
        <v>381163</v>
      </c>
      <c r="S24" s="292"/>
      <c r="T24" s="168"/>
      <c r="U24" s="168"/>
      <c r="V24" s="987"/>
      <c r="W24" s="987"/>
      <c r="X24" s="987"/>
      <c r="AA24" s="512"/>
      <c r="AB24" s="512"/>
    </row>
    <row r="25" spans="1:28" s="271" customFormat="1" ht="11.4" customHeight="1">
      <c r="A25" s="170"/>
      <c r="C25" s="312"/>
      <c r="D25" s="997" t="s">
        <v>1190</v>
      </c>
      <c r="E25" s="997" t="s">
        <v>3296</v>
      </c>
      <c r="F25" s="998">
        <v>130569</v>
      </c>
      <c r="G25" s="998">
        <v>170576</v>
      </c>
      <c r="H25" s="998">
        <v>206849</v>
      </c>
      <c r="I25" s="998">
        <v>252801</v>
      </c>
      <c r="J25" s="998">
        <v>299931</v>
      </c>
      <c r="L25" s="565" t="s">
        <v>1190</v>
      </c>
      <c r="M25" s="565" t="s">
        <v>3296</v>
      </c>
      <c r="N25" s="1074">
        <f t="shared" si="0"/>
        <v>143625</v>
      </c>
      <c r="O25" s="1074">
        <f t="shared" si="0"/>
        <v>187633</v>
      </c>
      <c r="P25" s="1074">
        <f t="shared" si="0"/>
        <v>227533</v>
      </c>
      <c r="Q25" s="1074">
        <f t="shared" si="0"/>
        <v>278081</v>
      </c>
      <c r="R25" s="1074">
        <f t="shared" si="0"/>
        <v>329924</v>
      </c>
      <c r="S25" s="292"/>
      <c r="T25" s="168"/>
      <c r="U25" s="168"/>
      <c r="V25" s="987"/>
      <c r="W25" s="987"/>
      <c r="X25" s="987"/>
      <c r="AA25" s="512"/>
      <c r="AB25" s="512"/>
    </row>
    <row r="26" spans="1:28" s="271" customFormat="1" ht="11.4" customHeight="1">
      <c r="A26" s="170"/>
      <c r="C26" s="312"/>
      <c r="D26" s="997" t="s">
        <v>1190</v>
      </c>
      <c r="E26" s="997" t="s">
        <v>3297</v>
      </c>
      <c r="F26" s="998">
        <v>114354</v>
      </c>
      <c r="G26" s="998">
        <v>156004</v>
      </c>
      <c r="H26" s="998">
        <v>197346</v>
      </c>
      <c r="I26" s="998">
        <v>259909</v>
      </c>
      <c r="J26" s="998">
        <v>322047</v>
      </c>
      <c r="L26" s="565" t="s">
        <v>1190</v>
      </c>
      <c r="M26" s="565" t="s">
        <v>3297</v>
      </c>
      <c r="N26" s="1074">
        <f t="shared" si="0"/>
        <v>125789</v>
      </c>
      <c r="O26" s="1074">
        <f t="shared" si="0"/>
        <v>171604</v>
      </c>
      <c r="P26" s="1074">
        <f t="shared" si="0"/>
        <v>217080</v>
      </c>
      <c r="Q26" s="1074">
        <f t="shared" si="0"/>
        <v>285899</v>
      </c>
      <c r="R26" s="1074">
        <f t="shared" si="0"/>
        <v>354251</v>
      </c>
      <c r="S26" s="292"/>
      <c r="T26" s="168"/>
      <c r="U26" s="168"/>
      <c r="V26" s="987"/>
      <c r="W26" s="987"/>
      <c r="X26" s="987"/>
      <c r="AA26" s="512"/>
      <c r="AB26" s="512"/>
    </row>
    <row r="27" spans="1:28" s="271" customFormat="1" ht="11.4" customHeight="1">
      <c r="A27" s="170"/>
      <c r="C27" s="312"/>
      <c r="D27" s="1001" t="s">
        <v>1315</v>
      </c>
      <c r="E27" s="1001" t="s">
        <v>3301</v>
      </c>
      <c r="F27" s="1002">
        <v>137432</v>
      </c>
      <c r="G27" s="1002">
        <v>177418</v>
      </c>
      <c r="H27" s="1002">
        <v>212058</v>
      </c>
      <c r="I27" s="1002">
        <v>252539</v>
      </c>
      <c r="J27" s="1002">
        <v>296777</v>
      </c>
      <c r="L27" s="565" t="s">
        <v>1315</v>
      </c>
      <c r="M27" s="565" t="s">
        <v>3301</v>
      </c>
      <c r="N27" s="1074">
        <f t="shared" si="0"/>
        <v>151175</v>
      </c>
      <c r="O27" s="1074">
        <f t="shared" si="0"/>
        <v>195159</v>
      </c>
      <c r="P27" s="1074">
        <f t="shared" si="0"/>
        <v>233263</v>
      </c>
      <c r="Q27" s="1074">
        <f t="shared" si="0"/>
        <v>277792</v>
      </c>
      <c r="R27" s="1074">
        <f t="shared" si="0"/>
        <v>326454</v>
      </c>
      <c r="S27" s="292"/>
      <c r="T27" s="168"/>
      <c r="U27" s="168"/>
      <c r="V27" s="987"/>
      <c r="W27" s="987"/>
      <c r="X27" s="987"/>
      <c r="AA27" s="512"/>
      <c r="AB27" s="512"/>
    </row>
    <row r="28" spans="1:28" s="271" customFormat="1" ht="11.4" customHeight="1">
      <c r="A28" s="170"/>
      <c r="C28" s="312"/>
      <c r="D28" s="1001" t="s">
        <v>1315</v>
      </c>
      <c r="E28" s="1001" t="s">
        <v>3298</v>
      </c>
      <c r="F28" s="1002">
        <v>107460</v>
      </c>
      <c r="G28" s="1002">
        <v>150444</v>
      </c>
      <c r="H28" s="1002">
        <v>193428</v>
      </c>
      <c r="I28" s="1002">
        <v>257905</v>
      </c>
      <c r="J28" s="1002">
        <v>322381</v>
      </c>
      <c r="L28" s="565" t="s">
        <v>1315</v>
      </c>
      <c r="M28" s="565" t="s">
        <v>3298</v>
      </c>
      <c r="N28" s="1074">
        <f t="shared" si="0"/>
        <v>118206</v>
      </c>
      <c r="O28" s="1074">
        <f t="shared" si="0"/>
        <v>165488</v>
      </c>
      <c r="P28" s="1074">
        <f t="shared" si="0"/>
        <v>212770</v>
      </c>
      <c r="Q28" s="1074">
        <f t="shared" si="0"/>
        <v>283695</v>
      </c>
      <c r="R28" s="1074">
        <f t="shared" si="0"/>
        <v>354619</v>
      </c>
      <c r="S28" s="292"/>
      <c r="T28" s="168"/>
      <c r="U28" s="168"/>
      <c r="V28" s="987"/>
      <c r="W28" s="987"/>
      <c r="X28" s="987"/>
      <c r="AA28" s="512"/>
      <c r="AB28" s="512"/>
    </row>
    <row r="29" spans="1:28" s="271" customFormat="1" ht="11.4" customHeight="1">
      <c r="A29" s="170"/>
      <c r="C29" s="312"/>
      <c r="D29" s="1001" t="s">
        <v>1315</v>
      </c>
      <c r="E29" s="1001" t="s">
        <v>3296</v>
      </c>
      <c r="F29" s="1002">
        <v>122447</v>
      </c>
      <c r="G29" s="1002">
        <v>159574</v>
      </c>
      <c r="H29" s="1002">
        <v>193140</v>
      </c>
      <c r="I29" s="1002">
        <v>235376</v>
      </c>
      <c r="J29" s="1002">
        <v>278857</v>
      </c>
      <c r="L29" s="565" t="s">
        <v>1315</v>
      </c>
      <c r="M29" s="565" t="s">
        <v>3296</v>
      </c>
      <c r="N29" s="1074">
        <f t="shared" si="0"/>
        <v>134691</v>
      </c>
      <c r="O29" s="1074">
        <f t="shared" si="0"/>
        <v>175531</v>
      </c>
      <c r="P29" s="1074">
        <f t="shared" si="0"/>
        <v>212454</v>
      </c>
      <c r="Q29" s="1074">
        <f t="shared" si="0"/>
        <v>258913</v>
      </c>
      <c r="R29" s="1074">
        <f t="shared" si="0"/>
        <v>306742</v>
      </c>
      <c r="S29" s="292"/>
      <c r="T29" s="168"/>
      <c r="U29" s="168"/>
      <c r="V29" s="987"/>
      <c r="W29" s="987"/>
      <c r="X29" s="987"/>
      <c r="AA29" s="512"/>
      <c r="AB29" s="512"/>
    </row>
    <row r="30" spans="1:28" s="271" customFormat="1" ht="11.4" customHeight="1">
      <c r="A30" s="170"/>
      <c r="C30" s="312"/>
      <c r="D30" s="1001" t="s">
        <v>1315</v>
      </c>
      <c r="E30" s="1001" t="s">
        <v>3297</v>
      </c>
      <c r="F30" s="1002">
        <v>108299</v>
      </c>
      <c r="G30" s="1002">
        <v>148060</v>
      </c>
      <c r="H30" s="1002">
        <v>187554</v>
      </c>
      <c r="I30" s="1002">
        <v>247273</v>
      </c>
      <c r="J30" s="1002">
        <v>306622</v>
      </c>
      <c r="L30" s="565" t="s">
        <v>1315</v>
      </c>
      <c r="M30" s="565" t="s">
        <v>3297</v>
      </c>
      <c r="N30" s="1074">
        <f t="shared" si="0"/>
        <v>119128</v>
      </c>
      <c r="O30" s="1074">
        <f t="shared" si="0"/>
        <v>162866</v>
      </c>
      <c r="P30" s="1074">
        <f t="shared" si="0"/>
        <v>206309</v>
      </c>
      <c r="Q30" s="1074">
        <f t="shared" si="0"/>
        <v>272000</v>
      </c>
      <c r="R30" s="1074">
        <f t="shared" si="0"/>
        <v>337284</v>
      </c>
      <c r="S30" s="292"/>
      <c r="T30" s="168"/>
      <c r="U30" s="168"/>
      <c r="V30" s="987"/>
      <c r="W30" s="987"/>
      <c r="X30" s="987"/>
      <c r="AA30" s="512"/>
      <c r="AB30" s="512"/>
    </row>
    <row r="31" spans="1:28" s="271" customFormat="1" ht="11.4" customHeight="1">
      <c r="A31" s="170"/>
      <c r="C31" s="312"/>
      <c r="D31" s="1026" t="s">
        <v>1503</v>
      </c>
      <c r="E31" s="1026" t="s">
        <v>3301</v>
      </c>
      <c r="F31" s="855">
        <v>144345</v>
      </c>
      <c r="G31" s="855">
        <v>186781</v>
      </c>
      <c r="H31" s="855">
        <v>223544</v>
      </c>
      <c r="I31" s="855">
        <v>266662</v>
      </c>
      <c r="J31" s="855">
        <v>313764</v>
      </c>
      <c r="L31" s="1026" t="s">
        <v>1503</v>
      </c>
      <c r="M31" s="565" t="s">
        <v>3301</v>
      </c>
      <c r="N31" s="1074">
        <f t="shared" ref="N31:R34" si="1">ROUNDDOWN(F31*1.1,0)</f>
        <v>158779</v>
      </c>
      <c r="O31" s="1074">
        <f t="shared" si="1"/>
        <v>205459</v>
      </c>
      <c r="P31" s="1074">
        <f t="shared" si="1"/>
        <v>245898</v>
      </c>
      <c r="Q31" s="1074">
        <f t="shared" si="1"/>
        <v>293328</v>
      </c>
      <c r="R31" s="1074">
        <f t="shared" si="1"/>
        <v>345140</v>
      </c>
      <c r="S31" s="292"/>
      <c r="T31" s="168"/>
      <c r="U31" s="168"/>
      <c r="V31" s="987"/>
      <c r="W31" s="987"/>
      <c r="X31" s="987"/>
      <c r="AA31" s="512"/>
      <c r="AB31" s="512"/>
    </row>
    <row r="32" spans="1:28" s="271" customFormat="1" ht="11.4" customHeight="1">
      <c r="A32" s="170"/>
      <c r="C32" s="312"/>
      <c r="D32" s="1026" t="s">
        <v>1503</v>
      </c>
      <c r="E32" s="1026" t="s">
        <v>3298</v>
      </c>
      <c r="F32" s="855">
        <v>112768</v>
      </c>
      <c r="G32" s="855">
        <v>157875</v>
      </c>
      <c r="H32" s="855">
        <v>202982</v>
      </c>
      <c r="I32" s="855">
        <v>270642</v>
      </c>
      <c r="J32" s="855">
        <v>338303</v>
      </c>
      <c r="L32" s="1026" t="s">
        <v>1503</v>
      </c>
      <c r="M32" s="565" t="s">
        <v>3298</v>
      </c>
      <c r="N32" s="1074">
        <f t="shared" si="1"/>
        <v>124044</v>
      </c>
      <c r="O32" s="1074">
        <f t="shared" si="1"/>
        <v>173662</v>
      </c>
      <c r="P32" s="1074">
        <f t="shared" si="1"/>
        <v>223280</v>
      </c>
      <c r="Q32" s="1074">
        <f t="shared" si="1"/>
        <v>297706</v>
      </c>
      <c r="R32" s="1074">
        <f t="shared" si="1"/>
        <v>372133</v>
      </c>
      <c r="S32" s="292"/>
      <c r="T32" s="168"/>
      <c r="U32" s="168"/>
      <c r="V32" s="987"/>
      <c r="W32" s="987"/>
      <c r="X32" s="987"/>
      <c r="AA32" s="512"/>
      <c r="AB32" s="512"/>
    </row>
    <row r="33" spans="1:28" s="271" customFormat="1" ht="11.4" customHeight="1">
      <c r="A33" s="170"/>
      <c r="C33" s="312"/>
      <c r="D33" s="1026" t="s">
        <v>1503</v>
      </c>
      <c r="E33" s="1026" t="s">
        <v>3296</v>
      </c>
      <c r="F33" s="855">
        <v>126924</v>
      </c>
      <c r="G33" s="855">
        <v>166037</v>
      </c>
      <c r="H33" s="855">
        <v>201553</v>
      </c>
      <c r="I33" s="855">
        <v>246710</v>
      </c>
      <c r="J33" s="855">
        <v>292932</v>
      </c>
      <c r="L33" s="1026" t="s">
        <v>1503</v>
      </c>
      <c r="M33" s="565" t="s">
        <v>3296</v>
      </c>
      <c r="N33" s="1074">
        <f t="shared" si="1"/>
        <v>139616</v>
      </c>
      <c r="O33" s="1074">
        <f t="shared" si="1"/>
        <v>182640</v>
      </c>
      <c r="P33" s="1074">
        <f t="shared" si="1"/>
        <v>221708</v>
      </c>
      <c r="Q33" s="1074">
        <f t="shared" si="1"/>
        <v>271381</v>
      </c>
      <c r="R33" s="1074">
        <f t="shared" si="1"/>
        <v>322225</v>
      </c>
      <c r="S33" s="292"/>
      <c r="T33" s="168"/>
      <c r="U33" s="168"/>
      <c r="V33" s="987"/>
      <c r="W33" s="987"/>
      <c r="X33" s="987"/>
      <c r="AA33" s="512"/>
      <c r="AB33" s="512"/>
    </row>
    <row r="34" spans="1:28" s="271" customFormat="1" ht="11.4" customHeight="1">
      <c r="A34" s="170"/>
      <c r="C34" s="312"/>
      <c r="D34" s="1026" t="s">
        <v>1503</v>
      </c>
      <c r="E34" s="1026" t="s">
        <v>3297</v>
      </c>
      <c r="F34" s="855">
        <v>110561</v>
      </c>
      <c r="G34" s="855">
        <v>150648</v>
      </c>
      <c r="H34" s="855">
        <v>190425</v>
      </c>
      <c r="I34" s="855">
        <v>250646</v>
      </c>
      <c r="J34" s="855">
        <v>310437</v>
      </c>
      <c r="L34" s="1026" t="s">
        <v>1503</v>
      </c>
      <c r="M34" s="565" t="s">
        <v>3297</v>
      </c>
      <c r="N34" s="1074">
        <f t="shared" si="1"/>
        <v>121617</v>
      </c>
      <c r="O34" s="1074">
        <f t="shared" si="1"/>
        <v>165712</v>
      </c>
      <c r="P34" s="1074">
        <f t="shared" si="1"/>
        <v>209467</v>
      </c>
      <c r="Q34" s="1074">
        <f t="shared" si="1"/>
        <v>275710</v>
      </c>
      <c r="R34" s="1074">
        <f t="shared" si="1"/>
        <v>341480</v>
      </c>
      <c r="S34" s="292"/>
      <c r="T34" s="168"/>
      <c r="U34" s="168"/>
      <c r="V34" s="987"/>
      <c r="W34" s="987"/>
      <c r="X34" s="987"/>
      <c r="AA34" s="512"/>
      <c r="AB34" s="512"/>
    </row>
    <row r="35" spans="1:28" s="271" customFormat="1" ht="11.4" customHeight="1">
      <c r="A35" s="170"/>
      <c r="C35" s="312"/>
      <c r="D35" s="1003" t="s">
        <v>159</v>
      </c>
      <c r="E35" s="1003" t="s">
        <v>3301</v>
      </c>
      <c r="F35" s="1004">
        <v>136468</v>
      </c>
      <c r="G35" s="1004">
        <v>176299</v>
      </c>
      <c r="H35" s="1004">
        <v>210804</v>
      </c>
      <c r="I35" s="1004">
        <v>251173</v>
      </c>
      <c r="J35" s="1004">
        <v>295283</v>
      </c>
      <c r="L35" s="292" t="s">
        <v>159</v>
      </c>
      <c r="M35" s="292" t="s">
        <v>3301</v>
      </c>
      <c r="N35" s="1074">
        <f t="shared" ref="N35:R50" si="2">ROUNDDOWN(F35*1.1,0)</f>
        <v>150114</v>
      </c>
      <c r="O35" s="1074">
        <f t="shared" si="2"/>
        <v>193928</v>
      </c>
      <c r="P35" s="1074">
        <f t="shared" si="2"/>
        <v>231884</v>
      </c>
      <c r="Q35" s="1074">
        <f t="shared" si="2"/>
        <v>276290</v>
      </c>
      <c r="R35" s="1074">
        <f t="shared" si="2"/>
        <v>324811</v>
      </c>
      <c r="S35" s="292"/>
      <c r="T35" s="168"/>
      <c r="U35" s="168"/>
      <c r="V35" s="987"/>
      <c r="W35" s="987"/>
      <c r="X35" s="987"/>
      <c r="AA35" s="512"/>
      <c r="AB35" s="512"/>
    </row>
    <row r="36" spans="1:28" s="271" customFormat="1" ht="11.4" customHeight="1">
      <c r="A36" s="170"/>
      <c r="C36" s="312"/>
      <c r="D36" s="1003" t="s">
        <v>159</v>
      </c>
      <c r="E36" s="1003" t="s">
        <v>3298</v>
      </c>
      <c r="F36" s="1004">
        <v>106679</v>
      </c>
      <c r="G36" s="1004">
        <v>149350</v>
      </c>
      <c r="H36" s="1004">
        <v>192022</v>
      </c>
      <c r="I36" s="1004">
        <v>256029</v>
      </c>
      <c r="J36" s="1004">
        <v>320036</v>
      </c>
      <c r="L36" s="292" t="s">
        <v>159</v>
      </c>
      <c r="M36" s="292" t="s">
        <v>3298</v>
      </c>
      <c r="N36" s="1074">
        <f t="shared" si="2"/>
        <v>117346</v>
      </c>
      <c r="O36" s="1074">
        <f t="shared" si="2"/>
        <v>164285</v>
      </c>
      <c r="P36" s="1074">
        <f t="shared" si="2"/>
        <v>211224</v>
      </c>
      <c r="Q36" s="1074">
        <f t="shared" si="2"/>
        <v>281631</v>
      </c>
      <c r="R36" s="1074">
        <f t="shared" si="2"/>
        <v>352039</v>
      </c>
      <c r="S36" s="292"/>
      <c r="T36" s="168"/>
      <c r="U36" s="168"/>
      <c r="V36" s="987"/>
      <c r="W36" s="987"/>
      <c r="X36" s="987"/>
      <c r="AA36" s="512"/>
      <c r="AB36" s="512"/>
    </row>
    <row r="37" spans="1:28" s="271" customFormat="1" ht="11.4" customHeight="1">
      <c r="A37" s="170"/>
      <c r="C37" s="312"/>
      <c r="D37" s="1003" t="s">
        <v>159</v>
      </c>
      <c r="E37" s="1003" t="s">
        <v>3296</v>
      </c>
      <c r="F37" s="1004">
        <v>121108</v>
      </c>
      <c r="G37" s="1004">
        <v>158009</v>
      </c>
      <c r="H37" s="1004">
        <v>191414</v>
      </c>
      <c r="I37" s="1004">
        <v>233581</v>
      </c>
      <c r="J37" s="1004">
        <v>276915</v>
      </c>
      <c r="L37" s="292" t="s">
        <v>159</v>
      </c>
      <c r="M37" s="292" t="s">
        <v>3296</v>
      </c>
      <c r="N37" s="1074">
        <f t="shared" si="2"/>
        <v>133218</v>
      </c>
      <c r="O37" s="1074">
        <f t="shared" si="2"/>
        <v>173809</v>
      </c>
      <c r="P37" s="1074">
        <f t="shared" si="2"/>
        <v>210555</v>
      </c>
      <c r="Q37" s="1074">
        <f t="shared" si="2"/>
        <v>256939</v>
      </c>
      <c r="R37" s="1074">
        <f t="shared" si="2"/>
        <v>304606</v>
      </c>
      <c r="S37" s="292"/>
      <c r="T37" s="168"/>
      <c r="U37" s="168"/>
      <c r="V37" s="987"/>
      <c r="W37" s="987"/>
      <c r="X37" s="987"/>
      <c r="AA37" s="512"/>
      <c r="AB37" s="512"/>
    </row>
    <row r="38" spans="1:28" s="271" customFormat="1" ht="11.4" customHeight="1">
      <c r="A38" s="170"/>
      <c r="C38" s="312"/>
      <c r="D38" s="1003" t="s">
        <v>159</v>
      </c>
      <c r="E38" s="1003" t="s">
        <v>3297</v>
      </c>
      <c r="F38" s="1004">
        <v>106630</v>
      </c>
      <c r="G38" s="1004">
        <v>145635</v>
      </c>
      <c r="H38" s="1004">
        <v>184366</v>
      </c>
      <c r="I38" s="1004">
        <v>242953</v>
      </c>
      <c r="J38" s="1004">
        <v>301159</v>
      </c>
      <c r="L38" s="292" t="s">
        <v>159</v>
      </c>
      <c r="M38" s="292" t="s">
        <v>3297</v>
      </c>
      <c r="N38" s="1074">
        <f t="shared" si="2"/>
        <v>117293</v>
      </c>
      <c r="O38" s="1074">
        <f t="shared" si="2"/>
        <v>160198</v>
      </c>
      <c r="P38" s="1074">
        <f t="shared" si="2"/>
        <v>202802</v>
      </c>
      <c r="Q38" s="1074">
        <f t="shared" si="2"/>
        <v>267248</v>
      </c>
      <c r="R38" s="1074">
        <f t="shared" si="2"/>
        <v>331274</v>
      </c>
      <c r="S38" s="292"/>
      <c r="T38" s="168"/>
      <c r="U38" s="168"/>
      <c r="V38" s="987"/>
      <c r="W38" s="987"/>
      <c r="X38" s="987"/>
      <c r="AA38" s="512"/>
      <c r="AB38" s="512"/>
    </row>
    <row r="39" spans="1:28" s="271" customFormat="1" ht="11.4" customHeight="1">
      <c r="A39" s="170"/>
      <c r="C39" s="312"/>
      <c r="D39" s="1005" t="s">
        <v>1305</v>
      </c>
      <c r="E39" s="1005" t="s">
        <v>3301</v>
      </c>
      <c r="F39" s="1006">
        <v>138055</v>
      </c>
      <c r="G39" s="1006">
        <v>178400</v>
      </c>
      <c r="H39" s="1006">
        <v>213351</v>
      </c>
      <c r="I39" s="1006">
        <v>254259</v>
      </c>
      <c r="J39" s="1006">
        <v>298956</v>
      </c>
      <c r="L39" s="565" t="s">
        <v>1305</v>
      </c>
      <c r="M39" s="565" t="s">
        <v>3301</v>
      </c>
      <c r="N39" s="1074">
        <f t="shared" si="2"/>
        <v>151860</v>
      </c>
      <c r="O39" s="1074">
        <f t="shared" si="2"/>
        <v>196240</v>
      </c>
      <c r="P39" s="1074">
        <f t="shared" si="2"/>
        <v>234686</v>
      </c>
      <c r="Q39" s="1074">
        <f t="shared" si="2"/>
        <v>279684</v>
      </c>
      <c r="R39" s="1074">
        <f t="shared" si="2"/>
        <v>328851</v>
      </c>
      <c r="S39" s="292"/>
      <c r="T39" s="168"/>
      <c r="U39" s="168"/>
      <c r="V39" s="987"/>
      <c r="W39" s="987"/>
      <c r="X39" s="987"/>
      <c r="AA39" s="512"/>
      <c r="AB39" s="512"/>
    </row>
    <row r="40" spans="1:28" s="271" customFormat="1" ht="11.4" customHeight="1">
      <c r="A40" s="170"/>
      <c r="C40" s="312"/>
      <c r="D40" s="1005" t="s">
        <v>1305</v>
      </c>
      <c r="E40" s="1005" t="s">
        <v>3298</v>
      </c>
      <c r="F40" s="1006">
        <v>107908</v>
      </c>
      <c r="G40" s="1006">
        <v>151071</v>
      </c>
      <c r="H40" s="1006">
        <v>194234</v>
      </c>
      <c r="I40" s="1006">
        <v>258978</v>
      </c>
      <c r="J40" s="1006">
        <v>323723</v>
      </c>
      <c r="L40" s="565" t="s">
        <v>1305</v>
      </c>
      <c r="M40" s="565" t="s">
        <v>3298</v>
      </c>
      <c r="N40" s="1074">
        <f t="shared" si="2"/>
        <v>118698</v>
      </c>
      <c r="O40" s="1074">
        <f t="shared" si="2"/>
        <v>166178</v>
      </c>
      <c r="P40" s="1074">
        <f t="shared" si="2"/>
        <v>213657</v>
      </c>
      <c r="Q40" s="1074">
        <f t="shared" si="2"/>
        <v>284875</v>
      </c>
      <c r="R40" s="1074">
        <f t="shared" si="2"/>
        <v>356095</v>
      </c>
      <c r="S40" s="292"/>
      <c r="T40" s="168"/>
      <c r="U40" s="168"/>
      <c r="V40" s="987"/>
      <c r="W40" s="987"/>
      <c r="X40" s="987"/>
      <c r="AA40" s="512"/>
      <c r="AB40" s="512"/>
    </row>
    <row r="41" spans="1:28" s="271" customFormat="1" ht="11.4" customHeight="1">
      <c r="A41" s="170"/>
      <c r="C41" s="312"/>
      <c r="D41" s="1005" t="s">
        <v>1305</v>
      </c>
      <c r="E41" s="1005" t="s">
        <v>3296</v>
      </c>
      <c r="F41" s="1006">
        <v>122320</v>
      </c>
      <c r="G41" s="1006">
        <v>159663</v>
      </c>
      <c r="H41" s="1006">
        <v>193488</v>
      </c>
      <c r="I41" s="1006">
        <v>236238</v>
      </c>
      <c r="J41" s="1006">
        <v>280140</v>
      </c>
      <c r="L41" s="565" t="s">
        <v>1305</v>
      </c>
      <c r="M41" s="565" t="s">
        <v>3296</v>
      </c>
      <c r="N41" s="1074">
        <f t="shared" si="2"/>
        <v>134552</v>
      </c>
      <c r="O41" s="1074">
        <f t="shared" si="2"/>
        <v>175629</v>
      </c>
      <c r="P41" s="1074">
        <f t="shared" si="2"/>
        <v>212836</v>
      </c>
      <c r="Q41" s="1074">
        <f t="shared" si="2"/>
        <v>259861</v>
      </c>
      <c r="R41" s="1074">
        <f t="shared" si="2"/>
        <v>308154</v>
      </c>
      <c r="S41" s="292"/>
      <c r="T41" s="168"/>
      <c r="U41" s="168"/>
      <c r="V41" s="987"/>
      <c r="W41" s="987"/>
      <c r="X41" s="987"/>
      <c r="AA41" s="512"/>
      <c r="AB41" s="512"/>
    </row>
    <row r="42" spans="1:28" s="271" customFormat="1" ht="11.4" customHeight="1">
      <c r="A42" s="170"/>
      <c r="C42" s="312"/>
      <c r="D42" s="1005" t="s">
        <v>1305</v>
      </c>
      <c r="E42" s="1005" t="s">
        <v>3297</v>
      </c>
      <c r="F42" s="1006">
        <v>107499</v>
      </c>
      <c r="G42" s="1006">
        <v>146762</v>
      </c>
      <c r="H42" s="1006">
        <v>185744</v>
      </c>
      <c r="I42" s="1006">
        <v>244720</v>
      </c>
      <c r="J42" s="1006">
        <v>303307</v>
      </c>
      <c r="L42" s="565" t="s">
        <v>1305</v>
      </c>
      <c r="M42" s="565" t="s">
        <v>3297</v>
      </c>
      <c r="N42" s="1074">
        <f t="shared" si="2"/>
        <v>118248</v>
      </c>
      <c r="O42" s="1074">
        <f t="shared" si="2"/>
        <v>161438</v>
      </c>
      <c r="P42" s="1074">
        <f t="shared" si="2"/>
        <v>204318</v>
      </c>
      <c r="Q42" s="1074">
        <f t="shared" si="2"/>
        <v>269192</v>
      </c>
      <c r="R42" s="1074">
        <f t="shared" si="2"/>
        <v>333637</v>
      </c>
      <c r="S42" s="292"/>
      <c r="T42" s="168"/>
      <c r="U42" s="168"/>
      <c r="V42" s="987"/>
      <c r="W42" s="987"/>
      <c r="X42" s="987"/>
      <c r="AA42" s="512"/>
      <c r="AB42" s="512"/>
    </row>
    <row r="43" spans="1:28" s="271" customFormat="1" ht="11.4" customHeight="1">
      <c r="A43" s="170"/>
      <c r="C43" s="312"/>
      <c r="D43" s="997" t="s">
        <v>1311</v>
      </c>
      <c r="E43" s="997" t="s">
        <v>3301</v>
      </c>
      <c r="F43" s="998">
        <v>141285</v>
      </c>
      <c r="G43" s="998">
        <v>182625</v>
      </c>
      <c r="H43" s="998">
        <v>218438</v>
      </c>
      <c r="I43" s="998">
        <v>260372</v>
      </c>
      <c r="J43" s="998">
        <v>306189</v>
      </c>
      <c r="L43" s="565" t="s">
        <v>1311</v>
      </c>
      <c r="M43" s="565" t="s">
        <v>3301</v>
      </c>
      <c r="N43" s="1074">
        <f t="shared" si="2"/>
        <v>155413</v>
      </c>
      <c r="O43" s="1074">
        <f t="shared" si="2"/>
        <v>200887</v>
      </c>
      <c r="P43" s="1074">
        <f t="shared" si="2"/>
        <v>240281</v>
      </c>
      <c r="Q43" s="1074">
        <f t="shared" si="2"/>
        <v>286409</v>
      </c>
      <c r="R43" s="1074">
        <f t="shared" si="2"/>
        <v>336807</v>
      </c>
      <c r="S43" s="292"/>
      <c r="T43" s="168"/>
      <c r="U43" s="168"/>
      <c r="V43" s="987"/>
      <c r="W43" s="987"/>
      <c r="X43" s="987"/>
      <c r="AA43" s="512"/>
      <c r="AB43" s="512"/>
    </row>
    <row r="44" spans="1:28" s="271" customFormat="1" ht="11.4" customHeight="1">
      <c r="A44" s="170"/>
      <c r="C44" s="312"/>
      <c r="D44" s="997" t="s">
        <v>1311</v>
      </c>
      <c r="E44" s="997" t="s">
        <v>3298</v>
      </c>
      <c r="F44" s="998">
        <v>110421</v>
      </c>
      <c r="G44" s="998">
        <v>154590</v>
      </c>
      <c r="H44" s="998">
        <v>198758</v>
      </c>
      <c r="I44" s="998">
        <v>265011</v>
      </c>
      <c r="J44" s="998">
        <v>331263</v>
      </c>
      <c r="L44" s="565" t="s">
        <v>1311</v>
      </c>
      <c r="M44" s="565" t="s">
        <v>3298</v>
      </c>
      <c r="N44" s="1074">
        <f t="shared" si="2"/>
        <v>121463</v>
      </c>
      <c r="O44" s="1074">
        <f t="shared" si="2"/>
        <v>170049</v>
      </c>
      <c r="P44" s="1074">
        <f t="shared" si="2"/>
        <v>218633</v>
      </c>
      <c r="Q44" s="1074">
        <f t="shared" si="2"/>
        <v>291512</v>
      </c>
      <c r="R44" s="1074">
        <f t="shared" si="2"/>
        <v>364389</v>
      </c>
      <c r="S44" s="292"/>
      <c r="T44" s="168"/>
      <c r="U44" s="168"/>
      <c r="V44" s="987"/>
      <c r="W44" s="987"/>
      <c r="X44" s="987"/>
      <c r="AA44" s="512"/>
      <c r="AB44" s="512"/>
    </row>
    <row r="45" spans="1:28" s="271" customFormat="1" ht="11.4" customHeight="1">
      <c r="A45" s="170"/>
      <c r="C45" s="312"/>
      <c r="D45" s="997" t="s">
        <v>1311</v>
      </c>
      <c r="E45" s="997" t="s">
        <v>3296</v>
      </c>
      <c r="F45" s="998">
        <v>124989</v>
      </c>
      <c r="G45" s="998">
        <v>163219</v>
      </c>
      <c r="H45" s="998">
        <v>197865</v>
      </c>
      <c r="I45" s="998">
        <v>241707</v>
      </c>
      <c r="J45" s="998">
        <v>286701</v>
      </c>
      <c r="L45" s="565" t="s">
        <v>1311</v>
      </c>
      <c r="M45" s="565" t="s">
        <v>3296</v>
      </c>
      <c r="N45" s="1074">
        <f t="shared" si="2"/>
        <v>137487</v>
      </c>
      <c r="O45" s="1074">
        <f t="shared" si="2"/>
        <v>179540</v>
      </c>
      <c r="P45" s="1074">
        <f t="shared" si="2"/>
        <v>217651</v>
      </c>
      <c r="Q45" s="1074">
        <f t="shared" si="2"/>
        <v>265877</v>
      </c>
      <c r="R45" s="1074">
        <f t="shared" si="2"/>
        <v>315371</v>
      </c>
      <c r="S45" s="292"/>
      <c r="T45" s="168"/>
      <c r="U45" s="168"/>
      <c r="V45" s="987"/>
      <c r="W45" s="987"/>
      <c r="X45" s="987"/>
      <c r="AA45" s="512"/>
      <c r="AB45" s="512"/>
    </row>
    <row r="46" spans="1:28" s="271" customFormat="1" ht="11.4" customHeight="1">
      <c r="A46" s="170"/>
      <c r="C46" s="312"/>
      <c r="D46" s="997" t="s">
        <v>1311</v>
      </c>
      <c r="E46" s="997" t="s">
        <v>3297</v>
      </c>
      <c r="F46" s="998">
        <v>109647</v>
      </c>
      <c r="G46" s="998">
        <v>149636</v>
      </c>
      <c r="H46" s="998">
        <v>189334</v>
      </c>
      <c r="I46" s="998">
        <v>249402</v>
      </c>
      <c r="J46" s="998">
        <v>309066</v>
      </c>
      <c r="L46" s="565" t="s">
        <v>1311</v>
      </c>
      <c r="M46" s="565" t="s">
        <v>3297</v>
      </c>
      <c r="N46" s="1074">
        <f t="shared" si="2"/>
        <v>120611</v>
      </c>
      <c r="O46" s="1074">
        <f t="shared" si="2"/>
        <v>164599</v>
      </c>
      <c r="P46" s="1074">
        <f t="shared" si="2"/>
        <v>208267</v>
      </c>
      <c r="Q46" s="1074">
        <f t="shared" si="2"/>
        <v>274342</v>
      </c>
      <c r="R46" s="1074">
        <f t="shared" si="2"/>
        <v>339972</v>
      </c>
      <c r="S46" s="292"/>
      <c r="T46" s="168"/>
      <c r="U46" s="168"/>
      <c r="V46" s="987"/>
      <c r="W46" s="987"/>
      <c r="X46" s="987"/>
      <c r="AA46" s="512"/>
      <c r="AB46" s="512"/>
    </row>
    <row r="47" spans="1:28" s="271" customFormat="1" ht="11.4" customHeight="1">
      <c r="A47" s="170"/>
      <c r="C47" s="312"/>
      <c r="D47" s="1001" t="s">
        <v>1675</v>
      </c>
      <c r="E47" s="1001" t="s">
        <v>3301</v>
      </c>
      <c r="F47" s="1002">
        <v>129610</v>
      </c>
      <c r="G47" s="1002">
        <v>167690</v>
      </c>
      <c r="H47" s="1002">
        <v>200679</v>
      </c>
      <c r="I47" s="1002">
        <v>239361</v>
      </c>
      <c r="J47" s="1002">
        <v>281618</v>
      </c>
      <c r="L47" s="565" t="s">
        <v>1675</v>
      </c>
      <c r="M47" s="565" t="s">
        <v>3301</v>
      </c>
      <c r="N47" s="1074">
        <f t="shared" si="2"/>
        <v>142571</v>
      </c>
      <c r="O47" s="1074">
        <f t="shared" si="2"/>
        <v>184459</v>
      </c>
      <c r="P47" s="1074">
        <f t="shared" si="2"/>
        <v>220746</v>
      </c>
      <c r="Q47" s="1074">
        <f t="shared" si="2"/>
        <v>263297</v>
      </c>
      <c r="R47" s="1074">
        <f t="shared" si="2"/>
        <v>309779</v>
      </c>
      <c r="S47" s="292"/>
      <c r="T47" s="168"/>
      <c r="U47" s="168"/>
      <c r="V47" s="987"/>
      <c r="W47" s="987"/>
      <c r="X47" s="987"/>
      <c r="AA47" s="512"/>
      <c r="AB47" s="512"/>
    </row>
    <row r="48" spans="1:28" s="271" customFormat="1" ht="11.4" customHeight="1">
      <c r="A48" s="170"/>
      <c r="C48" s="312"/>
      <c r="D48" s="1001" t="s">
        <v>1675</v>
      </c>
      <c r="E48" s="1001" t="s">
        <v>3298</v>
      </c>
      <c r="F48" s="1002">
        <v>101262</v>
      </c>
      <c r="G48" s="1002">
        <v>141766</v>
      </c>
      <c r="H48" s="1002">
        <v>182271</v>
      </c>
      <c r="I48" s="1002">
        <v>243028</v>
      </c>
      <c r="J48" s="1002">
        <v>303785</v>
      </c>
      <c r="L48" s="565" t="s">
        <v>1675</v>
      </c>
      <c r="M48" s="565" t="s">
        <v>3298</v>
      </c>
      <c r="N48" s="1074">
        <f t="shared" si="2"/>
        <v>111388</v>
      </c>
      <c r="O48" s="1074">
        <f t="shared" si="2"/>
        <v>155942</v>
      </c>
      <c r="P48" s="1074">
        <f t="shared" si="2"/>
        <v>200498</v>
      </c>
      <c r="Q48" s="1074">
        <f t="shared" si="2"/>
        <v>267330</v>
      </c>
      <c r="R48" s="1074">
        <f t="shared" si="2"/>
        <v>334163</v>
      </c>
      <c r="S48" s="292"/>
      <c r="T48" s="168"/>
      <c r="U48" s="168"/>
      <c r="V48" s="987"/>
      <c r="W48" s="987"/>
      <c r="X48" s="987"/>
      <c r="AA48" s="512"/>
      <c r="AB48" s="512"/>
    </row>
    <row r="49" spans="1:28" s="271" customFormat="1" ht="11.4" customHeight="1">
      <c r="A49" s="170"/>
      <c r="C49" s="312"/>
      <c r="D49" s="1001" t="s">
        <v>1675</v>
      </c>
      <c r="E49" s="1001" t="s">
        <v>3296</v>
      </c>
      <c r="F49" s="1002">
        <v>114063</v>
      </c>
      <c r="G49" s="1002">
        <v>149176</v>
      </c>
      <c r="H49" s="1002">
        <v>181052</v>
      </c>
      <c r="I49" s="1002">
        <v>221554</v>
      </c>
      <c r="J49" s="1002">
        <v>263026</v>
      </c>
      <c r="L49" s="565" t="s">
        <v>1675</v>
      </c>
      <c r="M49" s="565" t="s">
        <v>3296</v>
      </c>
      <c r="N49" s="1074">
        <f t="shared" si="2"/>
        <v>125469</v>
      </c>
      <c r="O49" s="1074">
        <f t="shared" si="2"/>
        <v>164093</v>
      </c>
      <c r="P49" s="1074">
        <f t="shared" si="2"/>
        <v>199157</v>
      </c>
      <c r="Q49" s="1074">
        <f t="shared" si="2"/>
        <v>243709</v>
      </c>
      <c r="R49" s="1074">
        <f t="shared" si="2"/>
        <v>289328</v>
      </c>
      <c r="S49" s="292"/>
      <c r="T49" s="168"/>
      <c r="U49" s="168"/>
      <c r="V49" s="987"/>
      <c r="W49" s="987"/>
      <c r="X49" s="987"/>
      <c r="AA49" s="512"/>
      <c r="AB49" s="512"/>
    </row>
    <row r="50" spans="1:28" s="271" customFormat="1" ht="11.4" customHeight="1">
      <c r="A50" s="170"/>
      <c r="C50" s="312"/>
      <c r="D50" s="1001" t="s">
        <v>1675</v>
      </c>
      <c r="E50" s="1001" t="s">
        <v>3297</v>
      </c>
      <c r="F50" s="1002">
        <v>99454</v>
      </c>
      <c r="G50" s="1002">
        <v>135544</v>
      </c>
      <c r="H50" s="1002">
        <v>171357</v>
      </c>
      <c r="I50" s="1002">
        <v>225572</v>
      </c>
      <c r="J50" s="1002">
        <v>279402</v>
      </c>
      <c r="L50" s="565" t="s">
        <v>1675</v>
      </c>
      <c r="M50" s="565" t="s">
        <v>3297</v>
      </c>
      <c r="N50" s="1074">
        <f t="shared" si="2"/>
        <v>109399</v>
      </c>
      <c r="O50" s="1074">
        <f t="shared" si="2"/>
        <v>149098</v>
      </c>
      <c r="P50" s="1074">
        <f t="shared" si="2"/>
        <v>188492</v>
      </c>
      <c r="Q50" s="1074">
        <f t="shared" si="2"/>
        <v>248129</v>
      </c>
      <c r="R50" s="1074">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3487</v>
      </c>
      <c r="G52" s="170"/>
      <c r="H52" s="280"/>
      <c r="I52" s="168"/>
      <c r="J52" s="170"/>
      <c r="K52" s="281"/>
      <c r="L52" s="281"/>
      <c r="M52" s="281"/>
      <c r="N52" s="281"/>
      <c r="O52" s="170"/>
      <c r="P52" s="168"/>
      <c r="Q52" s="279"/>
      <c r="R52" s="279"/>
      <c r="S52" s="168"/>
      <c r="T52" s="168"/>
      <c r="U52" s="168"/>
      <c r="AA52" s="512"/>
      <c r="AB52" s="512"/>
    </row>
    <row r="53" spans="1:28" s="271" customFormat="1" ht="11.4" customHeight="1">
      <c r="A53" s="170"/>
      <c r="B53" s="170"/>
      <c r="C53" s="170"/>
      <c r="D53" s="168"/>
      <c r="E53" s="168"/>
      <c r="F53" s="170"/>
      <c r="G53" s="170"/>
      <c r="H53" s="168"/>
      <c r="I53" s="168"/>
      <c r="J53" s="278" t="s">
        <v>481</v>
      </c>
      <c r="K53" s="278" t="s">
        <v>2408</v>
      </c>
      <c r="L53" s="278" t="s">
        <v>2409</v>
      </c>
      <c r="M53" s="278" t="s">
        <v>2410</v>
      </c>
      <c r="N53" s="278" t="s">
        <v>2411</v>
      </c>
      <c r="O53" s="170"/>
      <c r="P53" s="168"/>
      <c r="Q53" s="171" t="s">
        <v>2987</v>
      </c>
      <c r="R53" s="171" t="s">
        <v>1709</v>
      </c>
      <c r="S53" s="277"/>
      <c r="T53" s="277"/>
      <c r="U53" s="168"/>
      <c r="V53" s="987"/>
      <c r="W53" s="987"/>
      <c r="X53" s="987"/>
      <c r="AA53" s="512"/>
      <c r="AB53" s="512"/>
    </row>
    <row r="54" spans="1:28" s="271" customFormat="1" ht="11.4" customHeight="1">
      <c r="A54" s="170"/>
      <c r="B54" s="170"/>
      <c r="C54" s="170"/>
      <c r="D54" s="168"/>
      <c r="E54" s="168"/>
      <c r="F54" s="170" t="s">
        <v>3474</v>
      </c>
      <c r="G54" s="170"/>
      <c r="H54" s="168"/>
      <c r="I54" s="168"/>
      <c r="J54" s="636">
        <v>110481</v>
      </c>
      <c r="K54" s="636">
        <v>126647</v>
      </c>
      <c r="L54" s="636">
        <v>154003</v>
      </c>
      <c r="M54" s="636">
        <v>199229</v>
      </c>
      <c r="N54" s="636">
        <v>199229</v>
      </c>
      <c r="O54" s="170"/>
      <c r="P54" s="168"/>
      <c r="Q54" s="637">
        <v>1000</v>
      </c>
      <c r="R54" s="637">
        <v>0</v>
      </c>
      <c r="S54" s="292" t="s">
        <v>3473</v>
      </c>
      <c r="T54" s="277"/>
      <c r="U54" s="168"/>
      <c r="V54" s="987"/>
      <c r="W54" s="987"/>
      <c r="X54" s="987"/>
      <c r="AA54" s="512"/>
      <c r="AB54" s="512"/>
    </row>
    <row r="55" spans="1:28" s="271" customFormat="1" ht="11.4" customHeight="1">
      <c r="A55" s="170"/>
      <c r="B55" s="170"/>
      <c r="C55" s="170"/>
      <c r="D55" s="168"/>
      <c r="E55" s="168"/>
      <c r="O55" s="170"/>
      <c r="T55" s="277"/>
      <c r="U55" s="168"/>
      <c r="V55" s="987"/>
      <c r="W55" s="987"/>
      <c r="X55" s="987"/>
      <c r="AA55" s="512"/>
      <c r="AB55" s="512"/>
    </row>
    <row r="56" spans="1:28" s="271" customFormat="1" ht="11.4" customHeight="1">
      <c r="A56" s="272" t="s">
        <v>1706</v>
      </c>
      <c r="B56" s="272"/>
      <c r="C56" s="272"/>
      <c r="D56" s="168"/>
      <c r="E56" s="168"/>
      <c r="F56" s="272" t="s">
        <v>1707</v>
      </c>
      <c r="G56" s="272"/>
      <c r="H56" s="168"/>
      <c r="I56" s="168"/>
      <c r="J56" s="272" t="s">
        <v>1708</v>
      </c>
      <c r="K56" s="272"/>
      <c r="L56" s="272"/>
      <c r="M56" s="272"/>
      <c r="N56" s="272"/>
      <c r="O56" s="272"/>
      <c r="P56" s="168"/>
      <c r="Q56" s="171" t="s">
        <v>2987</v>
      </c>
      <c r="R56" s="171" t="s">
        <v>1709</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1180</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 customHeight="1">
      <c r="A59" s="168"/>
      <c r="B59" s="170" t="s">
        <v>1180</v>
      </c>
      <c r="C59" s="170"/>
      <c r="D59" s="168"/>
      <c r="E59" s="168"/>
      <c r="F59" s="170" t="s">
        <v>1181</v>
      </c>
      <c r="G59" s="170" t="s">
        <v>3562</v>
      </c>
      <c r="H59" s="168"/>
      <c r="I59" s="168"/>
      <c r="J59" s="170" t="s">
        <v>1512</v>
      </c>
      <c r="K59" s="170"/>
      <c r="L59" s="170"/>
      <c r="M59" s="170"/>
      <c r="N59" s="170"/>
      <c r="O59" s="170"/>
      <c r="P59" s="168"/>
      <c r="Q59" s="1106">
        <v>5000</v>
      </c>
      <c r="R59" s="282" t="s">
        <v>1712</v>
      </c>
      <c r="S59" s="283"/>
      <c r="AA59" s="512"/>
      <c r="AB59" s="512"/>
    </row>
    <row r="60" spans="1:28" s="271" customFormat="1" ht="11.4" customHeight="1">
      <c r="A60" s="168"/>
      <c r="B60" s="170"/>
      <c r="C60" s="170"/>
      <c r="D60" s="168"/>
      <c r="E60" s="168"/>
      <c r="F60" s="170"/>
      <c r="G60" s="170" t="s">
        <v>3561</v>
      </c>
      <c r="H60" s="168"/>
      <c r="I60" s="168"/>
      <c r="J60" s="170" t="s">
        <v>1512</v>
      </c>
      <c r="K60" s="170"/>
      <c r="L60" s="170"/>
      <c r="M60" s="170"/>
      <c r="N60" s="170"/>
      <c r="O60" s="170"/>
      <c r="P60" s="168"/>
      <c r="Q60" s="1106">
        <v>4500</v>
      </c>
      <c r="R60" s="282" t="s">
        <v>1712</v>
      </c>
      <c r="S60" s="283"/>
      <c r="AA60" s="512"/>
      <c r="AB60" s="512"/>
    </row>
    <row r="61" spans="1:28" s="271" customFormat="1" ht="11.4" customHeight="1">
      <c r="A61" s="168"/>
      <c r="B61" s="170"/>
      <c r="C61" s="170"/>
      <c r="D61" s="168"/>
      <c r="E61" s="168"/>
      <c r="F61" s="170" t="s">
        <v>2565</v>
      </c>
      <c r="G61" s="170" t="s">
        <v>2579</v>
      </c>
      <c r="H61" s="168"/>
      <c r="I61" s="168"/>
      <c r="J61" s="170" t="s">
        <v>1512</v>
      </c>
      <c r="K61" s="170"/>
      <c r="L61" s="170"/>
      <c r="M61" s="170"/>
      <c r="N61" s="170"/>
      <c r="O61" s="170"/>
      <c r="P61" s="168"/>
      <c r="Q61" s="1106">
        <v>3750</v>
      </c>
      <c r="R61" s="282" t="s">
        <v>1712</v>
      </c>
      <c r="S61" s="283"/>
      <c r="AA61" s="512"/>
      <c r="AB61" s="512"/>
    </row>
    <row r="62" spans="1:28" s="271" customFormat="1" ht="11.4" customHeight="1">
      <c r="A62" s="170"/>
      <c r="B62" s="170"/>
      <c r="C62" s="170"/>
      <c r="D62" s="168"/>
      <c r="E62" s="168"/>
      <c r="G62" s="170" t="s">
        <v>2578</v>
      </c>
      <c r="H62" s="168"/>
      <c r="I62" s="168"/>
      <c r="J62" s="170" t="s">
        <v>1512</v>
      </c>
      <c r="K62" s="170"/>
      <c r="L62" s="170"/>
      <c r="M62" s="170"/>
      <c r="N62" s="170"/>
      <c r="O62" s="170"/>
      <c r="P62" s="168"/>
      <c r="Q62" s="1106">
        <v>3250</v>
      </c>
      <c r="R62" s="282" t="s">
        <v>1712</v>
      </c>
      <c r="S62" s="283"/>
      <c r="AA62" s="512"/>
      <c r="AB62" s="512"/>
    </row>
    <row r="63" spans="1:28" s="271" customFormat="1" ht="11.4" customHeight="1">
      <c r="A63" s="170"/>
      <c r="B63" s="170"/>
      <c r="C63" s="170"/>
      <c r="D63" s="168"/>
      <c r="E63" s="168"/>
      <c r="G63" s="170" t="s">
        <v>3796</v>
      </c>
      <c r="H63" s="168"/>
      <c r="I63" s="168"/>
      <c r="J63" s="170" t="s">
        <v>1512</v>
      </c>
      <c r="K63" s="170"/>
      <c r="L63" s="170"/>
      <c r="M63" s="170"/>
      <c r="N63" s="170"/>
      <c r="O63" s="170"/>
      <c r="P63" s="168"/>
      <c r="Q63" s="1106">
        <v>3000</v>
      </c>
      <c r="R63" s="282" t="s">
        <v>1712</v>
      </c>
      <c r="S63" s="283"/>
      <c r="T63" s="283"/>
      <c r="U63" s="283"/>
      <c r="AA63" s="512"/>
      <c r="AB63" s="512"/>
    </row>
    <row r="64" spans="1:28" s="271" customFormat="1" ht="11.4" customHeight="1">
      <c r="A64" s="170"/>
      <c r="B64" s="170" t="s">
        <v>1182</v>
      </c>
      <c r="C64" s="170"/>
      <c r="D64" s="168"/>
      <c r="E64" s="168"/>
      <c r="F64" s="170" t="s">
        <v>273</v>
      </c>
      <c r="G64" s="170"/>
      <c r="H64" s="168"/>
      <c r="I64" s="168"/>
      <c r="J64" s="170" t="s">
        <v>1512</v>
      </c>
      <c r="K64" s="170"/>
      <c r="L64" s="170"/>
      <c r="M64" s="170"/>
      <c r="N64" s="170"/>
      <c r="O64" s="170"/>
      <c r="P64" s="168"/>
      <c r="Q64" s="1107">
        <v>350</v>
      </c>
      <c r="R64" s="282" t="s">
        <v>1712</v>
      </c>
      <c r="S64" s="283"/>
      <c r="T64" s="283"/>
      <c r="U64" s="283"/>
      <c r="AA64" s="512"/>
      <c r="AB64" s="512"/>
    </row>
    <row r="65" spans="1:28" s="271" customFormat="1" ht="11.4" customHeight="1">
      <c r="A65" s="170"/>
      <c r="B65" s="170"/>
      <c r="C65" s="170"/>
      <c r="D65" s="168"/>
      <c r="E65" s="168"/>
      <c r="F65" s="170" t="s">
        <v>1183</v>
      </c>
      <c r="G65" s="170"/>
      <c r="H65" s="168"/>
      <c r="I65" s="168"/>
      <c r="J65" s="170" t="s">
        <v>1512</v>
      </c>
      <c r="K65" s="170"/>
      <c r="L65" s="170"/>
      <c r="M65" s="170"/>
      <c r="N65" s="170"/>
      <c r="O65" s="170"/>
      <c r="P65" s="168"/>
      <c r="Q65" s="1107">
        <v>250</v>
      </c>
      <c r="R65" s="282" t="s">
        <v>1712</v>
      </c>
      <c r="S65" s="283"/>
      <c r="T65" s="283"/>
      <c r="U65" s="283"/>
      <c r="AA65" s="512"/>
      <c r="AB65" s="512"/>
    </row>
    <row r="66" spans="1:28" s="271" customFormat="1" ht="11.4" customHeight="1">
      <c r="A66" s="170"/>
      <c r="B66" s="170"/>
      <c r="C66" s="170"/>
      <c r="D66" s="170"/>
      <c r="E66" s="168"/>
      <c r="F66" s="170" t="s">
        <v>3366</v>
      </c>
      <c r="G66" s="170"/>
      <c r="H66" s="168"/>
      <c r="I66" s="168"/>
      <c r="J66" s="170" t="s">
        <v>1512</v>
      </c>
      <c r="K66" s="170"/>
      <c r="L66" s="170"/>
      <c r="M66" s="170"/>
      <c r="N66" s="170"/>
      <c r="O66" s="170"/>
      <c r="P66" s="168"/>
      <c r="Q66" s="1107">
        <v>420</v>
      </c>
      <c r="R66" s="282" t="s">
        <v>1712</v>
      </c>
      <c r="S66" s="283"/>
      <c r="T66" s="283"/>
      <c r="U66" s="283"/>
      <c r="AA66" s="512"/>
      <c r="AB66" s="512"/>
    </row>
    <row r="67" spans="1:28" s="271" customFormat="1" ht="11.4" customHeight="1">
      <c r="A67" s="170"/>
      <c r="B67" s="170"/>
      <c r="C67" s="170"/>
      <c r="D67" s="170"/>
      <c r="E67" s="168"/>
      <c r="F67" s="170" t="s">
        <v>363</v>
      </c>
      <c r="G67" s="170"/>
      <c r="H67" s="168"/>
      <c r="I67" s="168"/>
      <c r="J67" s="170" t="s">
        <v>1512</v>
      </c>
      <c r="K67" s="170"/>
      <c r="L67" s="170"/>
      <c r="M67" s="170"/>
      <c r="N67" s="170"/>
      <c r="O67" s="170"/>
      <c r="P67" s="168"/>
      <c r="Q67" s="1107">
        <v>420</v>
      </c>
      <c r="R67" s="282" t="s">
        <v>1712</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1184</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 customHeight="1">
      <c r="A70" s="170"/>
      <c r="B70" s="170" t="s">
        <v>749</v>
      </c>
      <c r="C70" s="170"/>
      <c r="D70" s="168"/>
      <c r="E70" s="168"/>
      <c r="F70" s="170" t="s">
        <v>273</v>
      </c>
      <c r="G70" s="170"/>
      <c r="H70" s="168"/>
      <c r="I70" s="168"/>
      <c r="J70" s="170" t="s">
        <v>3735</v>
      </c>
      <c r="K70" s="170"/>
      <c r="L70" s="170"/>
      <c r="M70" s="170"/>
      <c r="N70" s="170"/>
      <c r="O70" s="170"/>
      <c r="P70" s="168"/>
      <c r="Q70" s="1058">
        <v>25000</v>
      </c>
      <c r="R70" s="282" t="s">
        <v>502</v>
      </c>
      <c r="S70" s="283"/>
      <c r="T70" s="283"/>
      <c r="U70" s="283"/>
      <c r="AA70" s="512"/>
      <c r="AB70" s="512"/>
    </row>
    <row r="71" spans="1:28" s="271" customFormat="1" ht="11.4" customHeight="1">
      <c r="A71" s="170"/>
      <c r="B71" s="170" t="s">
        <v>1935</v>
      </c>
      <c r="C71" s="170"/>
      <c r="D71" s="168"/>
      <c r="E71" s="168"/>
      <c r="F71" s="170" t="s">
        <v>1183</v>
      </c>
      <c r="G71" s="170"/>
      <c r="H71" s="168"/>
      <c r="I71" s="168"/>
      <c r="J71" s="170" t="s">
        <v>3797</v>
      </c>
      <c r="K71" s="170"/>
      <c r="L71" s="170"/>
      <c r="M71" s="170"/>
      <c r="N71" s="170"/>
      <c r="O71" s="170"/>
      <c r="P71" s="168"/>
      <c r="Q71" s="1057" t="s">
        <v>957</v>
      </c>
      <c r="R71" s="1057">
        <v>0.05</v>
      </c>
      <c r="S71" s="283"/>
      <c r="T71" s="283"/>
      <c r="U71" s="283"/>
      <c r="AA71" s="512"/>
      <c r="AB71" s="512"/>
    </row>
    <row r="72" spans="1:28" s="271" customFormat="1" ht="11.4" customHeight="1">
      <c r="A72" s="170"/>
      <c r="B72" s="170"/>
      <c r="C72" s="170"/>
      <c r="D72" s="168"/>
      <c r="E72" s="168"/>
      <c r="F72" s="170" t="s">
        <v>273</v>
      </c>
      <c r="G72" s="170"/>
      <c r="H72" s="168"/>
      <c r="I72" s="168"/>
      <c r="J72" s="170" t="s">
        <v>3797</v>
      </c>
      <c r="K72" s="170"/>
      <c r="L72" s="170"/>
      <c r="M72" s="170"/>
      <c r="N72" s="170"/>
      <c r="O72" s="170"/>
      <c r="P72" s="168"/>
      <c r="Q72" s="1057" t="s">
        <v>957</v>
      </c>
      <c r="R72" s="1057">
        <v>0.1</v>
      </c>
      <c r="S72" s="283"/>
      <c r="T72" s="283"/>
      <c r="U72" s="283"/>
      <c r="AA72" s="512"/>
      <c r="AB72" s="512"/>
    </row>
    <row r="73" spans="1:28" s="271" customFormat="1" ht="11.4" customHeight="1">
      <c r="A73" s="170"/>
      <c r="B73" s="170" t="s">
        <v>2012</v>
      </c>
      <c r="C73" s="170"/>
      <c r="D73" s="168"/>
      <c r="E73" s="168"/>
      <c r="F73" s="170" t="s">
        <v>1712</v>
      </c>
      <c r="G73" s="170"/>
      <c r="H73" s="168"/>
      <c r="I73" s="168"/>
      <c r="J73" s="170" t="s">
        <v>3798</v>
      </c>
      <c r="K73" s="170"/>
      <c r="L73" s="170"/>
      <c r="M73" s="170"/>
      <c r="N73" s="170"/>
      <c r="O73" s="170"/>
      <c r="P73" s="168"/>
      <c r="Q73" s="282" t="s">
        <v>1712</v>
      </c>
      <c r="R73" s="1057">
        <v>0.06</v>
      </c>
      <c r="S73" s="283"/>
      <c r="T73" s="283"/>
      <c r="U73" s="283"/>
      <c r="AA73" s="512"/>
      <c r="AB73" s="512"/>
    </row>
    <row r="74" spans="1:28" s="271" customFormat="1" ht="11.4" customHeight="1">
      <c r="A74" s="170"/>
      <c r="B74" s="170" t="s">
        <v>2013</v>
      </c>
      <c r="C74" s="170"/>
      <c r="D74" s="168"/>
      <c r="E74" s="168"/>
      <c r="F74" s="170" t="s">
        <v>1712</v>
      </c>
      <c r="G74" s="170"/>
      <c r="H74" s="168"/>
      <c r="I74" s="168"/>
      <c r="J74" s="170" t="s">
        <v>3798</v>
      </c>
      <c r="K74" s="170"/>
      <c r="L74" s="170"/>
      <c r="M74" s="170"/>
      <c r="N74" s="170"/>
      <c r="O74" s="170"/>
      <c r="P74" s="168"/>
      <c r="Q74" s="282" t="s">
        <v>1712</v>
      </c>
      <c r="R74" s="1057">
        <v>0.02</v>
      </c>
      <c r="S74" s="283"/>
      <c r="T74" s="283"/>
      <c r="U74" s="283"/>
      <c r="AA74" s="512"/>
      <c r="AB74" s="512"/>
    </row>
    <row r="75" spans="1:28" s="271" customFormat="1" ht="11.4" customHeight="1">
      <c r="A75" s="170"/>
      <c r="B75" s="170" t="s">
        <v>2767</v>
      </c>
      <c r="C75" s="170"/>
      <c r="D75" s="168"/>
      <c r="E75" s="168"/>
      <c r="F75" s="170" t="s">
        <v>1712</v>
      </c>
      <c r="G75" s="170"/>
      <c r="H75" s="168"/>
      <c r="I75" s="168"/>
      <c r="J75" s="170" t="s">
        <v>3798</v>
      </c>
      <c r="K75" s="170"/>
      <c r="L75" s="170"/>
      <c r="M75" s="170"/>
      <c r="N75" s="170"/>
      <c r="O75" s="170"/>
      <c r="P75" s="168"/>
      <c r="Q75" s="282" t="s">
        <v>1712</v>
      </c>
      <c r="R75" s="1057">
        <v>0.06</v>
      </c>
      <c r="S75" s="283"/>
      <c r="T75" s="283"/>
      <c r="U75" s="283"/>
      <c r="AA75" s="512"/>
      <c r="AB75" s="512"/>
    </row>
    <row r="76" spans="1:28" s="271" customFormat="1" ht="11.4" customHeight="1">
      <c r="A76" s="170"/>
      <c r="B76" s="170" t="s">
        <v>1277</v>
      </c>
      <c r="C76" s="170"/>
      <c r="D76" s="168"/>
      <c r="E76" s="168"/>
      <c r="F76" s="170" t="s">
        <v>1114</v>
      </c>
      <c r="G76" s="170"/>
      <c r="H76" s="168"/>
      <c r="I76" s="168"/>
      <c r="J76" s="170"/>
      <c r="K76" s="170"/>
      <c r="L76" s="170"/>
      <c r="M76" s="170"/>
      <c r="N76" s="170"/>
      <c r="O76" s="170"/>
      <c r="P76" s="168"/>
      <c r="Q76" s="282" t="s">
        <v>1712</v>
      </c>
      <c r="R76" s="1065">
        <v>20000</v>
      </c>
      <c r="S76" s="283"/>
      <c r="T76" s="283"/>
      <c r="U76" s="283"/>
      <c r="AA76" s="512"/>
      <c r="AB76" s="512"/>
    </row>
    <row r="77" spans="1:28" s="271" customFormat="1" ht="11.4" customHeight="1">
      <c r="A77" s="168"/>
      <c r="B77" s="283" t="s">
        <v>3719</v>
      </c>
      <c r="C77" s="170"/>
      <c r="D77" s="170"/>
      <c r="E77" s="168"/>
      <c r="F77" s="172" t="s">
        <v>3412</v>
      </c>
      <c r="G77" s="170"/>
      <c r="H77" s="168"/>
      <c r="I77" s="168"/>
      <c r="J77" s="170" t="s">
        <v>1185</v>
      </c>
      <c r="K77" s="170"/>
      <c r="L77" s="170"/>
      <c r="M77" s="170"/>
      <c r="N77" s="170"/>
      <c r="O77" s="170"/>
      <c r="P77" s="168"/>
      <c r="Q77" s="3961">
        <v>1000</v>
      </c>
      <c r="R77" s="3962"/>
      <c r="S77" s="283"/>
      <c r="T77" s="283"/>
      <c r="U77" s="283"/>
      <c r="AA77" s="512"/>
      <c r="AB77" s="512"/>
    </row>
    <row r="78" spans="1:28" s="271" customFormat="1" ht="11.4" customHeight="1">
      <c r="A78" s="170"/>
      <c r="B78" s="170"/>
      <c r="C78" s="170"/>
      <c r="D78" s="170"/>
      <c r="E78" s="168"/>
      <c r="G78" s="170"/>
      <c r="H78" s="168"/>
      <c r="I78" s="168"/>
      <c r="J78" s="170" t="s">
        <v>1186</v>
      </c>
      <c r="K78" s="170"/>
      <c r="L78" s="170"/>
      <c r="M78" s="170"/>
      <c r="N78" s="170"/>
      <c r="O78" s="170"/>
      <c r="P78" s="168"/>
      <c r="Q78" s="3961">
        <v>500</v>
      </c>
      <c r="R78" s="3962"/>
      <c r="S78" s="283"/>
      <c r="T78" s="283"/>
      <c r="U78" s="283"/>
      <c r="AA78" s="512"/>
      <c r="AB78" s="512"/>
    </row>
    <row r="79" spans="1:28" s="271" customFormat="1" ht="11.4" customHeight="1">
      <c r="A79" s="170"/>
      <c r="B79" s="170"/>
      <c r="C79" s="170"/>
      <c r="D79" s="170"/>
      <c r="E79" s="168"/>
      <c r="F79" s="172" t="s">
        <v>3806</v>
      </c>
      <c r="G79" s="170"/>
      <c r="H79" s="168"/>
      <c r="I79" s="168"/>
      <c r="J79" s="172" t="s">
        <v>3802</v>
      </c>
      <c r="K79" s="170"/>
      <c r="L79" s="170"/>
      <c r="M79" s="170"/>
      <c r="N79" s="170"/>
      <c r="O79" s="170"/>
      <c r="P79" s="168"/>
      <c r="Q79" s="3961">
        <v>1500</v>
      </c>
      <c r="R79" s="3962"/>
      <c r="S79" s="283"/>
      <c r="T79" s="283"/>
      <c r="U79" s="283"/>
      <c r="AA79" s="512"/>
      <c r="AB79" s="512"/>
    </row>
    <row r="80" spans="1:28" s="271" customFormat="1" ht="11.4" customHeight="1">
      <c r="A80" s="170"/>
      <c r="B80" s="170"/>
      <c r="C80" s="170"/>
      <c r="D80" s="170"/>
      <c r="E80" s="168"/>
      <c r="G80" s="170"/>
      <c r="H80" s="168"/>
      <c r="I80" s="168"/>
      <c r="J80" s="172" t="s">
        <v>3803</v>
      </c>
      <c r="K80" s="170"/>
      <c r="L80" s="170"/>
      <c r="M80" s="170"/>
      <c r="N80" s="170"/>
      <c r="O80" s="170"/>
      <c r="P80" s="168"/>
      <c r="Q80" s="3961">
        <v>1500</v>
      </c>
      <c r="R80" s="3962"/>
      <c r="S80" s="283"/>
      <c r="T80" s="283"/>
      <c r="U80" s="283"/>
      <c r="AA80" s="512"/>
      <c r="AB80" s="512"/>
    </row>
    <row r="81" spans="1:28" s="271" customFormat="1" ht="11.4" customHeight="1">
      <c r="A81" s="170"/>
      <c r="B81" s="170"/>
      <c r="C81" s="170"/>
      <c r="D81" s="170"/>
      <c r="E81" s="168"/>
      <c r="G81" s="170"/>
      <c r="H81" s="168"/>
      <c r="I81" s="168"/>
      <c r="J81" s="172" t="s">
        <v>3804</v>
      </c>
      <c r="K81" s="170"/>
      <c r="L81" s="170"/>
      <c r="M81" s="170"/>
      <c r="N81" s="170"/>
      <c r="O81" s="170"/>
      <c r="P81" s="168"/>
      <c r="Q81" s="3961">
        <v>1500</v>
      </c>
      <c r="R81" s="3962"/>
      <c r="S81" s="283"/>
      <c r="T81" s="283"/>
      <c r="U81" s="283"/>
      <c r="AA81" s="512"/>
      <c r="AB81" s="512"/>
    </row>
    <row r="82" spans="1:28" s="271" customFormat="1" ht="11.4" customHeight="1">
      <c r="A82" s="170"/>
      <c r="B82" s="170"/>
      <c r="C82" s="170"/>
      <c r="D82" s="170"/>
      <c r="E82" s="168"/>
      <c r="G82" s="170"/>
      <c r="H82" s="168"/>
      <c r="I82" s="168"/>
      <c r="J82" s="172" t="s">
        <v>3805</v>
      </c>
      <c r="K82" s="170"/>
      <c r="L82" s="170"/>
      <c r="M82" s="170"/>
      <c r="N82" s="170"/>
      <c r="O82" s="170"/>
      <c r="P82" s="168"/>
      <c r="Q82" s="3961">
        <v>1500</v>
      </c>
      <c r="R82" s="3962"/>
      <c r="S82" s="283"/>
      <c r="T82" s="283"/>
      <c r="U82" s="283"/>
      <c r="AA82" s="512"/>
      <c r="AB82" s="512"/>
    </row>
    <row r="83" spans="1:28" s="271" customFormat="1" ht="11.4" customHeight="1">
      <c r="A83" s="170"/>
      <c r="B83" s="170"/>
      <c r="C83" s="170"/>
      <c r="D83" s="170"/>
      <c r="E83" s="168"/>
      <c r="F83" s="172" t="s">
        <v>4402</v>
      </c>
      <c r="G83" s="170"/>
      <c r="H83" s="168"/>
      <c r="I83" s="168"/>
      <c r="J83" s="170" t="s">
        <v>1185</v>
      </c>
      <c r="K83" s="170"/>
      <c r="L83" s="170"/>
      <c r="M83" s="170"/>
      <c r="N83" s="170"/>
      <c r="O83" s="170"/>
      <c r="P83" s="168"/>
      <c r="Q83" s="3961">
        <v>6500</v>
      </c>
      <c r="R83" s="3962"/>
      <c r="S83" s="283"/>
      <c r="T83" s="283"/>
      <c r="U83" s="283"/>
      <c r="AA83" s="512"/>
      <c r="AB83" s="512"/>
    </row>
    <row r="84" spans="1:28" s="271" customFormat="1" ht="11.4" customHeight="1">
      <c r="A84" s="170"/>
      <c r="B84" s="170"/>
      <c r="C84" s="170"/>
      <c r="D84" s="170"/>
      <c r="E84" s="168"/>
      <c r="F84" s="172" t="s">
        <v>4402</v>
      </c>
      <c r="G84" s="170"/>
      <c r="H84" s="168"/>
      <c r="I84" s="168"/>
      <c r="J84" s="170" t="s">
        <v>1186</v>
      </c>
      <c r="K84" s="170"/>
      <c r="L84" s="170"/>
      <c r="M84" s="170"/>
      <c r="N84" s="170"/>
      <c r="O84" s="170"/>
      <c r="P84" s="168"/>
      <c r="Q84" s="3961">
        <v>5500</v>
      </c>
      <c r="R84" s="3962"/>
      <c r="S84" s="283"/>
      <c r="T84" s="283"/>
      <c r="U84" s="283"/>
      <c r="AA84" s="512"/>
      <c r="AB84" s="512"/>
    </row>
    <row r="85" spans="1:28" s="271" customFormat="1" ht="11.4" customHeight="1">
      <c r="A85" s="170"/>
      <c r="B85" s="170"/>
      <c r="C85" s="170"/>
      <c r="D85" s="170"/>
      <c r="E85" s="168"/>
      <c r="F85" s="172" t="s">
        <v>3374</v>
      </c>
      <c r="G85" s="170"/>
      <c r="H85" s="168"/>
      <c r="I85" s="168"/>
      <c r="J85" s="170"/>
      <c r="K85" s="170"/>
      <c r="L85" s="170"/>
      <c r="M85" s="170"/>
      <c r="N85" s="170"/>
      <c r="O85" s="170"/>
      <c r="P85" s="168"/>
      <c r="Q85" s="3961">
        <v>5000</v>
      </c>
      <c r="R85" s="3962"/>
      <c r="S85" s="283"/>
      <c r="T85" s="283"/>
      <c r="U85" s="283"/>
      <c r="AA85" s="512"/>
      <c r="AB85" s="512"/>
    </row>
    <row r="86" spans="1:28" s="271" customFormat="1" ht="11.4" customHeight="1">
      <c r="A86" s="170"/>
      <c r="B86" s="170"/>
      <c r="C86" s="170"/>
      <c r="D86" s="170"/>
      <c r="E86" s="168"/>
      <c r="F86" s="172"/>
      <c r="G86" s="170" t="s">
        <v>4400</v>
      </c>
      <c r="H86" s="168"/>
      <c r="I86" s="168"/>
      <c r="J86" s="170" t="s">
        <v>4401</v>
      </c>
      <c r="K86" s="170"/>
      <c r="L86" s="170"/>
      <c r="M86" s="170"/>
      <c r="N86" s="170"/>
      <c r="O86" s="170"/>
      <c r="P86" s="168"/>
      <c r="Q86" s="3961">
        <v>500</v>
      </c>
      <c r="R86" s="3962"/>
      <c r="S86" s="283"/>
      <c r="T86" s="283"/>
      <c r="U86" s="283"/>
      <c r="AA86" s="512"/>
      <c r="AB86" s="512"/>
    </row>
    <row r="87" spans="1:28" s="271" customFormat="1" ht="11.4" customHeight="1">
      <c r="A87" s="170"/>
      <c r="B87" s="170"/>
      <c r="C87" s="170"/>
      <c r="D87" s="170"/>
      <c r="E87" s="168"/>
      <c r="F87" s="172" t="s">
        <v>3800</v>
      </c>
      <c r="G87" s="170"/>
      <c r="H87" s="168"/>
      <c r="I87" s="168"/>
      <c r="J87" s="170"/>
      <c r="K87" s="170"/>
      <c r="L87" s="170"/>
      <c r="M87" s="170"/>
      <c r="N87" s="170"/>
      <c r="O87" s="170"/>
      <c r="P87" s="168"/>
      <c r="Q87" s="3961">
        <v>1500</v>
      </c>
      <c r="R87" s="3962"/>
      <c r="S87" s="283"/>
      <c r="T87" s="283"/>
      <c r="U87" s="283"/>
      <c r="AA87" s="512"/>
      <c r="AB87" s="512"/>
    </row>
    <row r="88" spans="1:28" s="271" customFormat="1" ht="11.4" customHeight="1">
      <c r="A88" s="170"/>
      <c r="C88" s="170"/>
      <c r="D88" s="168"/>
      <c r="E88" s="168"/>
      <c r="F88" s="172" t="s">
        <v>935</v>
      </c>
      <c r="H88" s="170"/>
      <c r="I88" s="168"/>
      <c r="J88" s="170" t="s">
        <v>936</v>
      </c>
      <c r="K88" s="170"/>
      <c r="L88" s="170"/>
      <c r="M88" s="170"/>
      <c r="N88" s="170"/>
      <c r="O88" s="170"/>
      <c r="P88" s="168"/>
      <c r="Q88" s="3963">
        <v>0.08</v>
      </c>
      <c r="R88" s="3963"/>
      <c r="S88" s="283"/>
      <c r="T88" s="283"/>
      <c r="U88" s="283"/>
      <c r="AA88" s="512"/>
      <c r="AB88" s="512"/>
    </row>
    <row r="89" spans="1:28" s="271" customFormat="1" ht="11.4" customHeight="1">
      <c r="A89" s="170"/>
      <c r="C89" s="170"/>
      <c r="D89" s="168"/>
      <c r="E89" s="168"/>
      <c r="F89" s="172" t="s">
        <v>937</v>
      </c>
      <c r="H89" s="170"/>
      <c r="I89" s="168"/>
      <c r="J89" s="170" t="s">
        <v>936</v>
      </c>
      <c r="K89" s="170"/>
      <c r="L89" s="170"/>
      <c r="M89" s="170"/>
      <c r="N89" s="170"/>
      <c r="O89" s="170"/>
      <c r="P89" s="168"/>
      <c r="Q89" s="3963">
        <v>0.08</v>
      </c>
      <c r="R89" s="3963"/>
      <c r="S89" s="283"/>
      <c r="T89" s="283"/>
      <c r="U89" s="283"/>
      <c r="AA89" s="512"/>
      <c r="AB89" s="512"/>
    </row>
    <row r="90" spans="1:28" s="271" customFormat="1" ht="11.4" customHeight="1">
      <c r="A90" s="170"/>
      <c r="C90" s="170"/>
      <c r="D90" s="168"/>
      <c r="E90" s="168"/>
      <c r="F90" s="172" t="s">
        <v>4403</v>
      </c>
      <c r="H90" s="170"/>
      <c r="I90" s="168"/>
      <c r="J90" s="170"/>
      <c r="K90" s="170"/>
      <c r="L90" s="170"/>
      <c r="M90" s="170"/>
      <c r="N90" s="170"/>
      <c r="O90" s="170"/>
      <c r="P90" s="168"/>
      <c r="Q90" s="3961">
        <v>3000</v>
      </c>
      <c r="R90" s="3962"/>
      <c r="S90" s="283"/>
      <c r="T90" s="283"/>
      <c r="U90" s="283"/>
      <c r="AA90" s="512"/>
      <c r="AB90" s="512"/>
    </row>
    <row r="91" spans="1:28" s="271" customFormat="1" ht="11.4" customHeight="1">
      <c r="A91" s="170"/>
      <c r="C91" s="170"/>
      <c r="D91" s="168"/>
      <c r="E91" s="168"/>
      <c r="F91" s="172" t="s">
        <v>3734</v>
      </c>
      <c r="H91" s="170"/>
      <c r="I91" s="168"/>
      <c r="J91" s="170"/>
      <c r="K91" s="170"/>
      <c r="L91" s="170"/>
      <c r="M91" s="170"/>
      <c r="N91" s="170"/>
      <c r="O91" s="170"/>
      <c r="P91" s="168"/>
      <c r="Q91" s="3961">
        <v>1500</v>
      </c>
      <c r="R91" s="3962"/>
      <c r="S91" s="283"/>
      <c r="T91" s="283"/>
      <c r="U91" s="283"/>
      <c r="AA91" s="512"/>
      <c r="AB91" s="512"/>
    </row>
    <row r="92" spans="1:28" s="271" customFormat="1" ht="11.4" customHeight="1">
      <c r="A92" s="170"/>
      <c r="C92" s="170"/>
      <c r="D92" s="168"/>
      <c r="E92" s="168"/>
      <c r="F92" s="170" t="s">
        <v>938</v>
      </c>
      <c r="H92" s="170" t="s">
        <v>1592</v>
      </c>
      <c r="I92" s="168"/>
      <c r="J92" s="170" t="s">
        <v>1512</v>
      </c>
      <c r="K92" s="170"/>
      <c r="L92" s="170"/>
      <c r="M92" s="170"/>
      <c r="N92" s="170"/>
      <c r="O92" s="170"/>
      <c r="P92" s="168"/>
      <c r="Q92" s="3961">
        <v>800</v>
      </c>
      <c r="R92" s="3962"/>
      <c r="S92" s="283"/>
      <c r="T92" s="283"/>
      <c r="U92" s="283"/>
      <c r="AA92" s="512"/>
      <c r="AB92" s="512"/>
    </row>
    <row r="93" spans="1:28" s="271" customFormat="1" ht="11.4" customHeight="1">
      <c r="A93" s="170"/>
      <c r="C93" s="170"/>
      <c r="D93" s="168"/>
      <c r="E93" s="168"/>
      <c r="F93" s="170"/>
      <c r="H93" s="170"/>
      <c r="I93" s="170" t="s">
        <v>4404</v>
      </c>
      <c r="J93" s="170" t="s">
        <v>1512</v>
      </c>
      <c r="K93" s="170"/>
      <c r="L93" s="170"/>
      <c r="M93" s="170"/>
      <c r="N93" s="170"/>
      <c r="O93" s="170"/>
      <c r="P93" s="168"/>
      <c r="Q93" s="3961">
        <v>1000</v>
      </c>
      <c r="R93" s="3962"/>
      <c r="S93" s="283"/>
      <c r="T93" s="283"/>
      <c r="U93" s="283"/>
      <c r="AA93" s="512"/>
      <c r="AB93" s="512"/>
    </row>
    <row r="94" spans="1:28" s="271" customFormat="1" ht="11.4" customHeight="1">
      <c r="A94" s="170"/>
      <c r="B94" s="170"/>
      <c r="C94" s="170"/>
      <c r="D94" s="168"/>
      <c r="E94" s="168"/>
      <c r="H94" s="172" t="s">
        <v>2645</v>
      </c>
      <c r="I94" s="294"/>
      <c r="J94" s="172" t="s">
        <v>1512</v>
      </c>
      <c r="K94" s="172" t="s">
        <v>3749</v>
      </c>
      <c r="L94" s="172"/>
      <c r="M94" s="172"/>
      <c r="N94" s="172"/>
      <c r="O94" s="172"/>
      <c r="P94" s="294"/>
      <c r="Q94" s="3961">
        <v>800</v>
      </c>
      <c r="R94" s="3962"/>
      <c r="S94" s="283"/>
      <c r="T94" s="283"/>
      <c r="U94" s="283"/>
      <c r="AA94" s="512"/>
      <c r="AB94" s="512"/>
    </row>
    <row r="95" spans="1:28" s="271" customFormat="1" ht="11.4" customHeight="1">
      <c r="A95" s="170"/>
      <c r="B95" s="170"/>
      <c r="C95" s="170"/>
      <c r="D95" s="168"/>
      <c r="E95" s="168"/>
      <c r="H95" s="170" t="s">
        <v>2772</v>
      </c>
      <c r="I95" s="168"/>
      <c r="J95" s="170" t="s">
        <v>2644</v>
      </c>
      <c r="K95" s="170"/>
      <c r="L95" s="170"/>
      <c r="M95" s="170"/>
      <c r="N95" s="170"/>
      <c r="O95" s="170"/>
      <c r="P95" s="168"/>
      <c r="Q95" s="3961">
        <v>1500</v>
      </c>
      <c r="R95" s="3962"/>
      <c r="S95" s="283"/>
      <c r="T95" s="283"/>
      <c r="U95" s="283"/>
      <c r="AA95" s="512"/>
      <c r="AB95" s="512"/>
    </row>
    <row r="96" spans="1:28" s="271" customFormat="1" ht="11.4" customHeight="1">
      <c r="A96" s="170"/>
      <c r="B96" s="170"/>
      <c r="C96" s="170"/>
      <c r="D96" s="168"/>
      <c r="E96" s="168"/>
      <c r="F96" s="170" t="s">
        <v>3991</v>
      </c>
      <c r="I96" s="168"/>
      <c r="J96" s="170" t="s">
        <v>4406</v>
      </c>
      <c r="K96" s="170"/>
      <c r="L96" s="170"/>
      <c r="M96" s="170"/>
      <c r="N96" s="170"/>
      <c r="O96" s="170"/>
      <c r="P96" s="168"/>
      <c r="Q96" s="282">
        <v>750</v>
      </c>
      <c r="R96" s="282" t="s">
        <v>1712</v>
      </c>
      <c r="S96" s="283"/>
      <c r="T96" s="283"/>
      <c r="U96" s="283"/>
      <c r="AA96" s="512"/>
      <c r="AB96" s="512"/>
    </row>
    <row r="97" spans="1:28" s="271" customFormat="1" ht="11.4" customHeight="1">
      <c r="A97" s="170"/>
      <c r="B97" s="170"/>
      <c r="C97" s="170"/>
      <c r="D97" s="168"/>
      <c r="E97" s="168"/>
      <c r="F97" s="170" t="s">
        <v>4405</v>
      </c>
      <c r="I97" s="168"/>
      <c r="J97" s="170" t="s">
        <v>1741</v>
      </c>
      <c r="K97" s="170"/>
      <c r="L97" s="170"/>
      <c r="M97" s="170"/>
      <c r="N97" s="170"/>
      <c r="O97" s="170"/>
      <c r="P97" s="168"/>
      <c r="Q97" s="3961">
        <v>3000</v>
      </c>
      <c r="R97" s="3962"/>
      <c r="S97" s="283"/>
      <c r="T97" s="283"/>
      <c r="U97" s="283"/>
      <c r="AA97" s="512"/>
      <c r="AB97" s="512"/>
    </row>
    <row r="98" spans="1:28" s="271" customFormat="1" ht="11.4" customHeight="1">
      <c r="A98" s="170"/>
      <c r="B98" s="172"/>
      <c r="C98" s="170"/>
      <c r="D98" s="168"/>
      <c r="E98" s="168"/>
      <c r="F98" s="170" t="s">
        <v>3375</v>
      </c>
      <c r="I98" s="168"/>
      <c r="J98" s="170" t="s">
        <v>3376</v>
      </c>
      <c r="K98" s="170"/>
      <c r="L98" s="170" t="s">
        <v>2771</v>
      </c>
      <c r="M98" s="170"/>
      <c r="N98" s="170"/>
      <c r="O98" s="170"/>
      <c r="P98" s="168"/>
      <c r="Q98" s="3961">
        <v>75</v>
      </c>
      <c r="R98" s="3962"/>
      <c r="S98" s="283"/>
      <c r="T98" s="283"/>
      <c r="U98" s="283"/>
      <c r="AA98" s="512"/>
      <c r="AB98" s="512"/>
    </row>
    <row r="99" spans="1:28" s="271" customFormat="1" ht="13.8">
      <c r="A99" s="170"/>
      <c r="B99" s="170" t="s">
        <v>1837</v>
      </c>
      <c r="C99" s="170"/>
      <c r="D99" s="1108" t="s">
        <v>3799</v>
      </c>
      <c r="E99" s="168"/>
      <c r="F99" s="170"/>
      <c r="G99" s="170"/>
      <c r="H99" s="170"/>
      <c r="I99" s="168"/>
      <c r="J99" s="170" t="s">
        <v>1709</v>
      </c>
      <c r="K99" s="170"/>
      <c r="L99" s="170"/>
      <c r="M99" s="170"/>
      <c r="N99" s="170"/>
      <c r="O99" s="170"/>
      <c r="P99" s="168"/>
      <c r="Q99" s="3966">
        <v>1800000</v>
      </c>
      <c r="R99" s="3967"/>
      <c r="S99" s="283"/>
      <c r="T99" s="283"/>
      <c r="U99" s="283"/>
      <c r="AA99" s="512"/>
      <c r="AB99" s="512"/>
    </row>
    <row r="100" spans="1:28" s="271" customFormat="1" ht="13.8">
      <c r="A100" s="170"/>
      <c r="B100" s="170"/>
      <c r="C100" s="170"/>
      <c r="D100" s="168"/>
      <c r="E100" s="168"/>
      <c r="F100" s="170"/>
      <c r="G100" s="170"/>
      <c r="H100" s="170"/>
      <c r="I100" s="168"/>
      <c r="J100" s="170" t="s">
        <v>3352</v>
      </c>
      <c r="K100" s="170"/>
      <c r="L100" s="170"/>
      <c r="M100" s="170"/>
      <c r="N100" s="170"/>
      <c r="O100" s="170"/>
      <c r="P100" s="168"/>
      <c r="Q100" s="3966">
        <v>3500000</v>
      </c>
      <c r="R100" s="3967"/>
      <c r="S100" s="283"/>
      <c r="T100" s="283"/>
      <c r="U100" s="283"/>
      <c r="AA100" s="512"/>
      <c r="AB100" s="512"/>
    </row>
    <row r="101" spans="1:28" s="271" customFormat="1" ht="13.8" hidden="1">
      <c r="A101" s="170"/>
      <c r="B101" s="170"/>
      <c r="C101" s="170"/>
      <c r="D101" s="168"/>
      <c r="E101" s="168"/>
      <c r="F101" s="170" t="s">
        <v>1694</v>
      </c>
      <c r="G101" s="170"/>
      <c r="H101" s="170" t="s">
        <v>2266</v>
      </c>
      <c r="I101" s="168"/>
      <c r="J101" s="170" t="s">
        <v>962</v>
      </c>
      <c r="K101" s="170"/>
      <c r="L101" s="170"/>
      <c r="M101" s="170"/>
      <c r="N101" s="170"/>
      <c r="O101" s="170"/>
      <c r="P101" s="168"/>
      <c r="Q101" s="3964">
        <v>0.15</v>
      </c>
      <c r="R101" s="3965"/>
      <c r="S101" s="283"/>
      <c r="T101" s="283"/>
      <c r="U101" s="283"/>
      <c r="AA101" s="512"/>
      <c r="AB101" s="512"/>
    </row>
    <row r="102" spans="1:28" s="271" customFormat="1" ht="13.8" hidden="1">
      <c r="A102" s="170"/>
      <c r="B102" s="384"/>
      <c r="C102" s="170"/>
      <c r="D102" s="168"/>
      <c r="E102" s="168"/>
      <c r="F102" s="170"/>
      <c r="G102" s="170"/>
      <c r="H102" s="170" t="s">
        <v>3539</v>
      </c>
      <c r="I102" s="170" t="s">
        <v>959</v>
      </c>
      <c r="J102" s="170" t="s">
        <v>961</v>
      </c>
      <c r="K102" s="170"/>
      <c r="L102" s="170"/>
      <c r="M102" s="170"/>
      <c r="N102" s="170"/>
      <c r="O102" s="170"/>
      <c r="P102" s="168"/>
      <c r="Q102" s="3964">
        <v>0.15</v>
      </c>
      <c r="R102" s="3965"/>
      <c r="S102" s="283"/>
      <c r="T102" s="283"/>
      <c r="U102" s="283"/>
      <c r="AA102" s="512"/>
      <c r="AB102" s="512"/>
    </row>
    <row r="103" spans="1:28" s="271" customFormat="1" ht="13.8" hidden="1">
      <c r="A103" s="170"/>
      <c r="B103" s="384"/>
      <c r="C103" s="170"/>
      <c r="D103" s="168"/>
      <c r="E103" s="168"/>
      <c r="F103" s="170"/>
      <c r="G103" s="170"/>
      <c r="H103" s="170"/>
      <c r="I103" s="170" t="s">
        <v>960</v>
      </c>
      <c r="J103" s="170" t="s">
        <v>963</v>
      </c>
      <c r="K103" s="170"/>
      <c r="L103" s="170"/>
      <c r="M103" s="170"/>
      <c r="N103" s="170"/>
      <c r="O103" s="170"/>
      <c r="P103" s="168"/>
      <c r="Q103" s="3964">
        <v>0.15</v>
      </c>
      <c r="R103" s="3965"/>
      <c r="S103" s="283"/>
      <c r="T103" s="283"/>
      <c r="U103" s="283"/>
      <c r="AA103" s="512"/>
      <c r="AB103" s="512"/>
    </row>
    <row r="104" spans="1:28" s="271" customFormat="1" ht="13.8" hidden="1">
      <c r="A104" s="170"/>
      <c r="B104" s="384"/>
      <c r="C104" s="170"/>
      <c r="D104" s="168"/>
      <c r="E104" s="168"/>
      <c r="F104" s="170"/>
      <c r="G104" s="170"/>
      <c r="H104" s="170" t="s">
        <v>958</v>
      </c>
      <c r="I104" s="168"/>
      <c r="J104" s="170" t="s">
        <v>963</v>
      </c>
      <c r="K104" s="170"/>
      <c r="L104" s="170"/>
      <c r="M104" s="170"/>
      <c r="N104" s="170"/>
      <c r="O104" s="170"/>
      <c r="P104" s="168"/>
      <c r="Q104" s="3964">
        <v>0.15</v>
      </c>
      <c r="R104" s="3965"/>
      <c r="S104" s="283"/>
      <c r="T104" s="283"/>
      <c r="U104" s="283"/>
      <c r="AA104" s="512"/>
      <c r="AB104" s="512"/>
    </row>
    <row r="105" spans="1:28" s="271" customFormat="1" ht="13.8" hidden="1">
      <c r="A105" s="170"/>
      <c r="B105" s="384"/>
      <c r="C105" s="170"/>
      <c r="D105" s="168"/>
      <c r="E105" s="168"/>
      <c r="F105" s="170"/>
      <c r="G105" s="170"/>
      <c r="H105" s="170"/>
      <c r="I105" s="170" t="s">
        <v>964</v>
      </c>
      <c r="J105" s="170" t="s">
        <v>965</v>
      </c>
      <c r="K105" s="170"/>
      <c r="L105" s="170"/>
      <c r="M105" s="170"/>
      <c r="N105" s="170"/>
      <c r="O105" s="170"/>
      <c r="P105" s="168"/>
      <c r="Q105" s="3964">
        <v>0.15</v>
      </c>
      <c r="R105" s="3965"/>
      <c r="S105" s="283"/>
      <c r="T105" s="283"/>
      <c r="U105" s="283"/>
      <c r="AA105" s="512"/>
      <c r="AB105" s="512"/>
    </row>
    <row r="106" spans="1:28" s="271" customFormat="1" ht="13.8" hidden="1">
      <c r="A106" s="170"/>
      <c r="B106" s="384"/>
      <c r="C106" s="170"/>
      <c r="D106" s="168"/>
      <c r="E106" s="168"/>
      <c r="F106" s="170" t="s">
        <v>1737</v>
      </c>
      <c r="G106" s="170"/>
      <c r="H106" s="170"/>
      <c r="I106" s="168"/>
      <c r="J106" s="170" t="s">
        <v>2342</v>
      </c>
      <c r="K106" s="170"/>
      <c r="L106" s="170"/>
      <c r="M106" s="170"/>
      <c r="N106" s="170"/>
      <c r="O106" s="170"/>
      <c r="P106" s="168"/>
      <c r="Q106" s="3964">
        <v>0.15</v>
      </c>
      <c r="R106" s="3965"/>
      <c r="S106" s="283"/>
      <c r="T106" s="283"/>
      <c r="U106" s="283"/>
      <c r="AA106" s="512"/>
      <c r="AB106" s="512"/>
    </row>
    <row r="107" spans="1:28" s="271" customFormat="1" ht="13.8" hidden="1">
      <c r="A107" s="170"/>
      <c r="B107" s="384"/>
      <c r="C107" s="170"/>
      <c r="D107" s="168"/>
      <c r="E107" s="168"/>
      <c r="G107" s="170"/>
      <c r="H107" s="170"/>
      <c r="I107" s="168"/>
      <c r="J107" s="170" t="s">
        <v>2343</v>
      </c>
      <c r="K107" s="170"/>
      <c r="L107" s="170"/>
      <c r="M107" s="170"/>
      <c r="N107" s="170"/>
      <c r="O107" s="170"/>
      <c r="P107" s="168"/>
      <c r="Q107" s="3964" t="s">
        <v>2344</v>
      </c>
      <c r="R107" s="3965"/>
      <c r="S107" s="283"/>
      <c r="T107" s="283"/>
      <c r="U107" s="283"/>
      <c r="AA107" s="512"/>
      <c r="AB107" s="512"/>
    </row>
    <row r="108" spans="1:28" s="271" customFormat="1" ht="13.8">
      <c r="A108" s="170"/>
      <c r="B108" s="384"/>
      <c r="C108" s="170"/>
      <c r="D108" s="168"/>
      <c r="E108" s="168"/>
      <c r="F108" s="170" t="s">
        <v>2007</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2006</v>
      </c>
      <c r="G109" s="170"/>
      <c r="I109" s="168"/>
      <c r="J109" s="170"/>
      <c r="K109" s="170"/>
      <c r="L109" s="170"/>
      <c r="M109" s="170"/>
      <c r="N109" s="170"/>
      <c r="O109" s="170"/>
      <c r="P109" s="168"/>
      <c r="Q109" s="1057">
        <v>0</v>
      </c>
      <c r="R109" s="1057">
        <v>0.5</v>
      </c>
      <c r="S109" s="283"/>
      <c r="T109" s="283"/>
      <c r="U109" s="283"/>
      <c r="AA109" s="512"/>
      <c r="AB109" s="512"/>
    </row>
    <row r="110" spans="1:28" s="271" customFormat="1" ht="11.4" customHeight="1">
      <c r="A110" s="170"/>
      <c r="B110" s="170" t="s">
        <v>1738</v>
      </c>
      <c r="C110" s="170"/>
      <c r="D110" s="170"/>
      <c r="E110" s="170"/>
      <c r="F110" s="170"/>
      <c r="G110" s="170"/>
      <c r="H110" s="168"/>
      <c r="I110" s="168"/>
      <c r="J110" s="170" t="s">
        <v>1739</v>
      </c>
      <c r="K110" s="170"/>
      <c r="L110" s="170"/>
      <c r="M110" s="170"/>
      <c r="N110" s="170"/>
      <c r="O110" s="170"/>
      <c r="P110" s="168"/>
      <c r="Q110" s="284">
        <v>6</v>
      </c>
      <c r="R110" s="282" t="s">
        <v>1712</v>
      </c>
      <c r="S110" s="283"/>
      <c r="T110" s="283"/>
      <c r="U110" s="283"/>
      <c r="AA110" s="512"/>
      <c r="AB110" s="512"/>
    </row>
    <row r="111" spans="1:28" s="271" customFormat="1" ht="11.4" customHeight="1">
      <c r="A111" s="170"/>
      <c r="B111" s="170"/>
      <c r="C111" s="170"/>
      <c r="D111" s="170"/>
      <c r="E111" s="170"/>
      <c r="F111" s="170"/>
      <c r="G111" s="170"/>
      <c r="H111" s="168"/>
      <c r="I111" s="168"/>
      <c r="J111" s="170" t="s">
        <v>1740</v>
      </c>
      <c r="K111" s="170"/>
      <c r="L111" s="170"/>
      <c r="M111" s="170"/>
      <c r="N111" s="170"/>
      <c r="O111" s="170"/>
      <c r="P111" s="168"/>
      <c r="Q111" s="284">
        <v>6</v>
      </c>
      <c r="R111" s="282" t="s">
        <v>1712</v>
      </c>
      <c r="S111" s="283"/>
      <c r="T111" s="283"/>
      <c r="U111" s="283"/>
      <c r="AA111" s="512"/>
      <c r="AB111" s="512"/>
    </row>
    <row r="112" spans="1:28" s="271" customFormat="1" ht="11.4" customHeight="1">
      <c r="A112" s="170"/>
      <c r="B112" s="386" t="s">
        <v>2008</v>
      </c>
      <c r="C112" s="170"/>
      <c r="D112" s="168"/>
      <c r="E112" s="168"/>
      <c r="F112" s="170"/>
      <c r="G112" s="170"/>
      <c r="I112" s="168"/>
      <c r="J112" s="170" t="s">
        <v>2009</v>
      </c>
      <c r="K112" s="170"/>
      <c r="L112" s="170"/>
      <c r="M112" s="170"/>
      <c r="N112" s="170"/>
      <c r="O112" s="170"/>
      <c r="P112" s="168"/>
      <c r="Q112" s="284">
        <v>3</v>
      </c>
      <c r="R112" s="282" t="s">
        <v>1712</v>
      </c>
      <c r="S112" s="283"/>
      <c r="T112" s="283"/>
      <c r="U112" s="283"/>
      <c r="AA112" s="512"/>
      <c r="AB112" s="512"/>
    </row>
    <row r="113" spans="1:28" s="271" customFormat="1" ht="11.4" customHeight="1">
      <c r="A113" s="170"/>
      <c r="B113" s="172" t="s">
        <v>3413</v>
      </c>
      <c r="C113" s="170"/>
      <c r="D113" s="168"/>
      <c r="E113" s="170"/>
      <c r="F113" s="170"/>
      <c r="G113" s="170"/>
      <c r="H113" s="168"/>
      <c r="I113" s="168"/>
      <c r="J113" s="170" t="s">
        <v>1741</v>
      </c>
      <c r="K113" s="170"/>
      <c r="L113" s="170"/>
      <c r="M113" s="170"/>
      <c r="N113" s="170"/>
      <c r="O113" s="170"/>
      <c r="P113" s="168"/>
      <c r="Q113" s="3961">
        <v>3000</v>
      </c>
      <c r="R113" s="3962"/>
      <c r="S113" s="283"/>
      <c r="T113" s="283"/>
      <c r="U113" s="283"/>
      <c r="AA113" s="512"/>
      <c r="AB113" s="512"/>
    </row>
    <row r="114" spans="1:28" s="271" customFormat="1" ht="11.4" customHeight="1">
      <c r="A114" s="170"/>
      <c r="B114" s="170"/>
      <c r="C114" s="170"/>
      <c r="D114" s="168"/>
      <c r="E114" s="168"/>
      <c r="O114" s="170"/>
      <c r="T114" s="277"/>
      <c r="U114" s="168"/>
      <c r="V114" s="987"/>
      <c r="W114" s="987"/>
      <c r="X114" s="987"/>
      <c r="AA114" s="512"/>
      <c r="AB114" s="512"/>
    </row>
    <row r="115" spans="1:28" s="271" customFormat="1" ht="11.4" customHeight="1">
      <c r="A115" s="272" t="s">
        <v>1706</v>
      </c>
      <c r="B115" s="272"/>
      <c r="C115" s="272"/>
      <c r="D115" s="168"/>
      <c r="E115" s="168"/>
      <c r="F115" s="272" t="s">
        <v>1707</v>
      </c>
      <c r="G115" s="272"/>
      <c r="H115" s="168"/>
      <c r="I115" s="168"/>
      <c r="J115" s="272" t="s">
        <v>1708</v>
      </c>
      <c r="K115" s="272"/>
      <c r="L115" s="272"/>
      <c r="M115" s="272"/>
      <c r="N115" s="272"/>
      <c r="O115" s="272"/>
      <c r="P115" s="168"/>
      <c r="Q115" s="171" t="s">
        <v>2987</v>
      </c>
      <c r="R115" s="171" t="s">
        <v>1709</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1742</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 customHeight="1">
      <c r="B119" s="285" t="s">
        <v>2380</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135</v>
      </c>
      <c r="N120" s="287">
        <v>1.08</v>
      </c>
      <c r="O120" s="287">
        <v>1.1599999999999999</v>
      </c>
      <c r="P120" s="287">
        <v>1.24</v>
      </c>
      <c r="Q120" s="287">
        <v>1.32</v>
      </c>
    </row>
    <row r="121" spans="1:28" s="283" customFormat="1" ht="11.4" customHeight="1">
      <c r="A121" s="170"/>
      <c r="B121" s="170" t="s">
        <v>1743</v>
      </c>
      <c r="C121" s="170"/>
      <c r="D121" s="170"/>
      <c r="E121" s="170"/>
      <c r="F121" s="170"/>
      <c r="G121" s="170"/>
      <c r="H121" s="170"/>
      <c r="J121" s="170" t="s">
        <v>1744</v>
      </c>
      <c r="K121" s="170"/>
      <c r="L121" s="170"/>
      <c r="M121" s="170"/>
      <c r="N121" s="170"/>
      <c r="O121" s="170"/>
      <c r="Q121" s="3963">
        <v>0.02</v>
      </c>
      <c r="R121" s="3963"/>
      <c r="AA121" s="512"/>
      <c r="AB121" s="512"/>
    </row>
    <row r="122" spans="1:28" s="283" customFormat="1" ht="11.4" customHeight="1">
      <c r="A122" s="170"/>
      <c r="B122" s="170" t="s">
        <v>1745</v>
      </c>
      <c r="C122" s="170"/>
      <c r="D122" s="170"/>
      <c r="E122" s="170"/>
      <c r="F122" s="170"/>
      <c r="G122" s="170"/>
      <c r="H122" s="170"/>
      <c r="J122" s="170" t="s">
        <v>1744</v>
      </c>
      <c r="K122" s="170"/>
      <c r="L122" s="170"/>
      <c r="M122" s="170"/>
      <c r="N122" s="170"/>
      <c r="O122" s="170"/>
      <c r="Q122" s="3963">
        <v>7.0000000000000007E-2</v>
      </c>
      <c r="R122" s="3963"/>
      <c r="AA122" s="512"/>
      <c r="AB122" s="512"/>
    </row>
    <row r="123" spans="1:28" s="283" customFormat="1" ht="11.4" customHeight="1">
      <c r="A123" s="170"/>
      <c r="B123" s="170" t="s">
        <v>1746</v>
      </c>
      <c r="C123" s="170"/>
      <c r="D123" s="170"/>
      <c r="E123" s="170"/>
      <c r="F123" s="170"/>
      <c r="G123" s="170"/>
      <c r="H123" s="170"/>
      <c r="J123" s="170" t="s">
        <v>1744</v>
      </c>
      <c r="K123" s="170"/>
      <c r="L123" s="170"/>
      <c r="M123" s="170"/>
      <c r="N123" s="170"/>
      <c r="O123" s="170"/>
      <c r="Q123" s="3963">
        <v>7.0000000000000007E-2</v>
      </c>
      <c r="R123" s="3963"/>
      <c r="AA123" s="512"/>
      <c r="AB123" s="512"/>
    </row>
    <row r="124" spans="1:28" s="271" customFormat="1" ht="11.4" customHeight="1">
      <c r="A124" s="170"/>
      <c r="B124" s="170" t="s">
        <v>132</v>
      </c>
      <c r="C124" s="170"/>
      <c r="D124" s="168"/>
      <c r="E124" s="168"/>
      <c r="F124" s="168"/>
      <c r="G124" s="170"/>
      <c r="H124" s="168"/>
      <c r="I124" s="168"/>
      <c r="J124" s="170" t="s">
        <v>1744</v>
      </c>
      <c r="K124" s="170"/>
      <c r="L124" s="170"/>
      <c r="M124" s="170"/>
      <c r="N124" s="170"/>
      <c r="O124" s="170"/>
      <c r="P124" s="168"/>
      <c r="Q124" s="3963">
        <v>0.03</v>
      </c>
      <c r="R124" s="3963"/>
      <c r="S124" s="283"/>
      <c r="T124" s="283"/>
      <c r="U124" s="283"/>
      <c r="AA124" s="512"/>
      <c r="AB124" s="512"/>
    </row>
    <row r="125" spans="1:28" s="271" customFormat="1" ht="11.4" customHeight="1">
      <c r="A125" s="170"/>
      <c r="B125" s="170" t="s">
        <v>133</v>
      </c>
      <c r="C125" s="170"/>
      <c r="D125" s="168"/>
      <c r="E125" s="168"/>
      <c r="F125" s="168"/>
      <c r="G125" s="170"/>
      <c r="H125" s="168"/>
      <c r="I125" s="168"/>
      <c r="J125" s="170" t="s">
        <v>1744</v>
      </c>
      <c r="K125" s="170"/>
      <c r="L125" s="170"/>
      <c r="M125" s="170"/>
      <c r="N125" s="170"/>
      <c r="O125" s="170"/>
      <c r="P125" s="168"/>
      <c r="Q125" s="3963">
        <v>0.03</v>
      </c>
      <c r="R125" s="3963"/>
      <c r="S125" s="283"/>
      <c r="T125" s="283"/>
      <c r="U125" s="283"/>
      <c r="AA125" s="512"/>
      <c r="AB125" s="512"/>
    </row>
    <row r="126" spans="1:28" s="271" customFormat="1" ht="11.4" customHeight="1">
      <c r="A126" s="170"/>
      <c r="B126" s="170" t="s">
        <v>134</v>
      </c>
      <c r="C126" s="170"/>
      <c r="D126" s="168"/>
      <c r="E126" s="168"/>
      <c r="F126" s="168"/>
      <c r="G126" s="170"/>
      <c r="H126" s="168"/>
      <c r="I126" s="168"/>
      <c r="J126" s="170" t="s">
        <v>1744</v>
      </c>
      <c r="K126" s="170"/>
      <c r="L126" s="170"/>
      <c r="M126" s="170"/>
      <c r="N126" s="170"/>
      <c r="O126" s="170"/>
      <c r="P126" s="168"/>
      <c r="Q126" s="3963">
        <v>0</v>
      </c>
      <c r="R126" s="3963"/>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 customHeight="1">
      <c r="A128" s="276" t="s">
        <v>2641</v>
      </c>
      <c r="B128" s="170"/>
      <c r="C128" s="170"/>
      <c r="D128" s="168"/>
      <c r="E128" s="168"/>
      <c r="F128" s="170" t="s">
        <v>503</v>
      </c>
      <c r="G128" s="170"/>
      <c r="H128" s="170" t="s">
        <v>2566</v>
      </c>
      <c r="I128" s="168"/>
      <c r="J128" s="170" t="s">
        <v>2643</v>
      </c>
      <c r="K128" s="170"/>
      <c r="L128" s="170"/>
      <c r="M128" s="170"/>
      <c r="N128" s="170"/>
      <c r="O128" s="170"/>
      <c r="P128" s="168"/>
      <c r="Q128" s="3963">
        <v>0.1</v>
      </c>
      <c r="R128" s="3963"/>
      <c r="S128" s="168"/>
      <c r="T128" s="168"/>
      <c r="U128" s="168"/>
      <c r="V128" s="936"/>
      <c r="W128" s="936"/>
      <c r="X128" s="171"/>
      <c r="AA128" s="512"/>
      <c r="AB128" s="512"/>
    </row>
    <row r="129" spans="1:28" s="271" customFormat="1" ht="11.4" customHeight="1">
      <c r="A129" s="276"/>
      <c r="B129" s="170"/>
      <c r="C129" s="170"/>
      <c r="D129" s="168"/>
      <c r="E129" s="168"/>
      <c r="F129" s="170"/>
      <c r="G129" s="170"/>
      <c r="H129" s="170" t="s">
        <v>3762</v>
      </c>
      <c r="I129" s="168"/>
      <c r="J129" s="170" t="s">
        <v>3763</v>
      </c>
      <c r="K129" s="170"/>
      <c r="L129" s="170"/>
      <c r="M129" s="170"/>
      <c r="N129" s="170"/>
      <c r="O129" s="170"/>
      <c r="P129" s="168"/>
      <c r="Q129" s="3960">
        <v>1000000</v>
      </c>
      <c r="R129" s="3960"/>
      <c r="S129" s="168"/>
      <c r="T129" s="168"/>
      <c r="U129" s="168"/>
      <c r="V129" s="936"/>
      <c r="W129" s="936"/>
      <c r="X129" s="171"/>
      <c r="AA129" s="512"/>
      <c r="AB129" s="512"/>
    </row>
    <row r="130" spans="1:28" s="271" customFormat="1" ht="11.4" customHeight="1">
      <c r="A130" s="170"/>
      <c r="B130" s="170"/>
      <c r="C130" s="170"/>
      <c r="D130" s="168"/>
      <c r="E130" s="168"/>
      <c r="F130" s="170"/>
      <c r="G130" s="170"/>
      <c r="H130" s="170" t="s">
        <v>3757</v>
      </c>
      <c r="I130" s="168"/>
      <c r="J130" s="170" t="s">
        <v>3764</v>
      </c>
      <c r="K130" s="170"/>
      <c r="L130" s="170"/>
      <c r="M130" s="170"/>
      <c r="N130" s="170"/>
      <c r="O130" s="170"/>
      <c r="P130" s="168"/>
      <c r="Q130" s="3960">
        <v>1500000</v>
      </c>
      <c r="R130" s="3960"/>
      <c r="S130" s="277"/>
      <c r="T130" s="277"/>
      <c r="U130" s="168"/>
      <c r="V130" s="987"/>
      <c r="W130" s="987"/>
      <c r="X130" s="987"/>
      <c r="AA130" s="512"/>
      <c r="AB130" s="512"/>
    </row>
    <row r="131" spans="1:28" s="271" customFormat="1" ht="11.4" customHeight="1">
      <c r="A131" s="170"/>
      <c r="B131" s="170"/>
      <c r="C131" s="170"/>
      <c r="D131" s="168"/>
      <c r="E131" s="168"/>
      <c r="F131" s="170"/>
      <c r="G131" s="170"/>
      <c r="H131" s="170"/>
      <c r="I131" s="168"/>
      <c r="J131" s="170" t="s">
        <v>3765</v>
      </c>
      <c r="K131" s="170"/>
      <c r="L131" s="170"/>
      <c r="M131" s="170"/>
      <c r="N131" s="170"/>
      <c r="O131" s="170"/>
      <c r="P131" s="168"/>
      <c r="Q131" s="3960">
        <v>375000</v>
      </c>
      <c r="R131" s="3960"/>
      <c r="S131" s="277"/>
      <c r="T131" s="277"/>
      <c r="U131" s="168"/>
      <c r="V131" s="987"/>
      <c r="W131" s="987"/>
      <c r="X131" s="987"/>
      <c r="AA131" s="512"/>
      <c r="AB131" s="512"/>
    </row>
    <row r="132" spans="1:28" s="271" customFormat="1" ht="11.4" customHeight="1">
      <c r="A132" s="170"/>
      <c r="B132" s="170"/>
      <c r="C132" s="170"/>
      <c r="D132" s="168"/>
      <c r="E132" s="168"/>
      <c r="F132" s="170"/>
      <c r="G132" s="170"/>
      <c r="H132" s="170" t="s">
        <v>4398</v>
      </c>
      <c r="I132" s="168"/>
      <c r="J132" s="170"/>
      <c r="K132" s="170"/>
      <c r="L132" s="170"/>
      <c r="M132" s="170"/>
      <c r="N132" s="170"/>
      <c r="O132" s="170"/>
      <c r="P132" s="168"/>
      <c r="Q132" s="3960"/>
      <c r="R132" s="3960"/>
      <c r="S132" s="277"/>
      <c r="T132" s="277"/>
      <c r="U132" s="168"/>
      <c r="V132" s="987"/>
      <c r="W132" s="987"/>
      <c r="X132" s="987"/>
      <c r="AA132" s="512"/>
      <c r="AB132" s="512"/>
    </row>
    <row r="133" spans="1:28" s="271" customFormat="1" ht="11.4" customHeight="1">
      <c r="A133" s="170"/>
      <c r="B133" s="170"/>
      <c r="C133" s="170"/>
      <c r="D133" s="168"/>
      <c r="E133" s="168"/>
      <c r="F133" s="170" t="s">
        <v>2378</v>
      </c>
      <c r="G133" s="170"/>
      <c r="H133" s="170" t="s">
        <v>2642</v>
      </c>
      <c r="I133" s="168"/>
      <c r="J133" s="170" t="s">
        <v>3795</v>
      </c>
      <c r="K133" s="170"/>
      <c r="L133" s="170"/>
      <c r="M133" s="170"/>
      <c r="N133" s="170"/>
      <c r="O133" s="170"/>
      <c r="P133" s="168"/>
      <c r="Q133" s="3960">
        <v>4000000</v>
      </c>
      <c r="R133" s="3960"/>
      <c r="S133" s="277"/>
      <c r="T133" s="277"/>
      <c r="U133" s="168"/>
      <c r="V133" s="987"/>
      <c r="W133" s="987"/>
      <c r="X133" s="987"/>
      <c r="AA133" s="512"/>
      <c r="AB133" s="512"/>
    </row>
    <row r="134" spans="1:28" s="271" customFormat="1" ht="11.4"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ht="13.8">
      <c r="A136" s="276" t="s">
        <v>2768</v>
      </c>
      <c r="F136" s="170" t="s">
        <v>2565</v>
      </c>
      <c r="G136" s="170"/>
      <c r="H136" s="168"/>
      <c r="I136" s="168"/>
      <c r="J136" s="170" t="s">
        <v>4399</v>
      </c>
      <c r="K136" s="170"/>
      <c r="L136" s="170"/>
      <c r="M136" s="170"/>
      <c r="N136" s="170"/>
      <c r="O136" s="170"/>
      <c r="P136" s="168"/>
      <c r="Q136" s="3963">
        <v>0.35</v>
      </c>
      <c r="R136" s="3963"/>
    </row>
    <row r="137" spans="1:28" s="271" customFormat="1" ht="12.75" customHeight="1">
      <c r="A137" s="276"/>
      <c r="B137" s="170"/>
      <c r="C137" s="170"/>
      <c r="D137" s="168"/>
      <c r="E137" s="168"/>
      <c r="F137" s="170" t="s">
        <v>2769</v>
      </c>
      <c r="G137" s="170"/>
      <c r="H137" s="168"/>
      <c r="I137" s="168"/>
      <c r="J137" s="170" t="s">
        <v>2643</v>
      </c>
      <c r="K137" s="170"/>
      <c r="L137" s="170"/>
      <c r="M137" s="170"/>
      <c r="N137" s="170"/>
      <c r="O137" s="170"/>
      <c r="P137" s="168"/>
      <c r="Q137" s="3963" t="s">
        <v>2770</v>
      </c>
      <c r="R137" s="3963"/>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3588</v>
      </c>
      <c r="B139" s="170"/>
      <c r="C139" s="170"/>
      <c r="D139" s="168"/>
      <c r="E139" s="168"/>
      <c r="F139" s="170" t="s">
        <v>3591</v>
      </c>
      <c r="G139" s="170"/>
      <c r="H139" s="168"/>
      <c r="I139" s="168"/>
      <c r="J139" s="170" t="s">
        <v>3592</v>
      </c>
      <c r="K139" s="170"/>
      <c r="L139" s="170"/>
      <c r="M139" s="170"/>
      <c r="N139" s="170"/>
      <c r="O139" s="170"/>
      <c r="P139" s="168"/>
      <c r="Q139" s="3963">
        <v>0.05</v>
      </c>
      <c r="R139" s="3963"/>
      <c r="S139" s="168"/>
      <c r="T139" s="168"/>
      <c r="U139" s="168"/>
      <c r="V139" s="936"/>
      <c r="W139" s="936"/>
      <c r="X139" s="171"/>
      <c r="AA139" s="512"/>
      <c r="AB139" s="512"/>
    </row>
    <row r="140" spans="1:28" s="271" customFormat="1" ht="12.75" customHeight="1">
      <c r="A140" s="276"/>
      <c r="B140" s="170"/>
      <c r="C140" s="170"/>
      <c r="D140" s="168"/>
      <c r="E140" s="168"/>
      <c r="F140" s="170"/>
      <c r="G140" s="170" t="s">
        <v>3589</v>
      </c>
      <c r="H140" s="168"/>
      <c r="I140" s="168"/>
      <c r="J140" s="170" t="s">
        <v>3593</v>
      </c>
      <c r="K140" s="170"/>
      <c r="L140" s="170"/>
      <c r="M140" s="170"/>
      <c r="N140" s="170"/>
      <c r="O140" s="170"/>
      <c r="P140" s="168"/>
      <c r="Q140" s="3963">
        <v>0.4</v>
      </c>
      <c r="R140" s="3963"/>
      <c r="S140" s="168"/>
      <c r="T140" s="168"/>
      <c r="U140" s="168"/>
      <c r="V140" s="936"/>
      <c r="W140" s="936"/>
      <c r="X140" s="171"/>
      <c r="AA140" s="512"/>
      <c r="AB140" s="512"/>
    </row>
    <row r="141" spans="1:28" s="271" customFormat="1" ht="12.75" customHeight="1">
      <c r="A141" s="276"/>
      <c r="B141" s="170"/>
      <c r="C141" s="170"/>
      <c r="D141" s="168"/>
      <c r="E141" s="168"/>
      <c r="F141" s="170" t="s">
        <v>3590</v>
      </c>
      <c r="G141" s="170"/>
      <c r="H141" s="168"/>
      <c r="I141" s="168"/>
      <c r="J141" s="170" t="s">
        <v>3592</v>
      </c>
      <c r="K141" s="170"/>
      <c r="L141" s="170"/>
      <c r="M141" s="170"/>
      <c r="N141" s="170"/>
      <c r="O141" s="170"/>
      <c r="P141" s="168"/>
      <c r="Q141" s="3963">
        <v>0.02</v>
      </c>
      <c r="R141" s="3963"/>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35" customHeight="1">
      <c r="C143" s="170"/>
      <c r="D143" s="168"/>
      <c r="E143" s="288"/>
      <c r="F143" s="288"/>
      <c r="G143" s="288"/>
      <c r="H143" s="288"/>
      <c r="I143" s="288"/>
    </row>
    <row r="144" spans="1:28" ht="13.8">
      <c r="C144" s="170"/>
      <c r="D144" s="168"/>
      <c r="J144" s="381" t="s">
        <v>792</v>
      </c>
      <c r="K144" s="381"/>
      <c r="L144" s="269"/>
    </row>
    <row r="145" spans="2:30" ht="13.8">
      <c r="C145" s="170"/>
      <c r="D145" s="168"/>
      <c r="J145" s="382" t="s">
        <v>795</v>
      </c>
      <c r="K145" s="382" t="s">
        <v>793</v>
      </c>
      <c r="L145" s="383" t="s">
        <v>794</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3968" t="s">
        <v>3974</v>
      </c>
      <c r="E154" s="283"/>
      <c r="F154" s="283"/>
    </row>
    <row r="155" spans="2:30" ht="10.5" customHeight="1">
      <c r="C155" s="3968"/>
      <c r="E155" s="283"/>
      <c r="F155" s="283"/>
    </row>
    <row r="156" spans="2:30" ht="10.5" customHeight="1">
      <c r="C156" s="3968"/>
      <c r="D156" s="1218" t="s">
        <v>4393</v>
      </c>
      <c r="E156" s="605"/>
      <c r="F156" s="283"/>
    </row>
    <row r="157" spans="2:30" ht="39.75" customHeight="1">
      <c r="C157" s="488" t="s">
        <v>1264</v>
      </c>
      <c r="D157" s="380" t="s">
        <v>1022</v>
      </c>
      <c r="E157" s="283"/>
      <c r="F157" s="549" t="s">
        <v>1776</v>
      </c>
      <c r="G157" s="549" t="s">
        <v>1192</v>
      </c>
      <c r="H157" s="549" t="s">
        <v>1193</v>
      </c>
      <c r="I157" s="550" t="s">
        <v>1194</v>
      </c>
      <c r="J157" s="550" t="s">
        <v>1137</v>
      </c>
      <c r="K157" s="549" t="s">
        <v>421</v>
      </c>
      <c r="L157" s="551" t="s">
        <v>1144</v>
      </c>
      <c r="M157" s="551" t="s">
        <v>2721</v>
      </c>
      <c r="N157" s="551" t="s">
        <v>3755</v>
      </c>
      <c r="O157" s="551" t="s">
        <v>4081</v>
      </c>
      <c r="P157" s="549" t="s">
        <v>2371</v>
      </c>
      <c r="Q157" s="549"/>
      <c r="R157" s="170"/>
      <c r="S157" s="389"/>
      <c r="T157" s="1507" t="s">
        <v>607</v>
      </c>
      <c r="U157" s="553" t="s">
        <v>608</v>
      </c>
      <c r="W157" s="582" t="s">
        <v>3327</v>
      </c>
      <c r="Z157" s="431"/>
      <c r="AA157" s="431"/>
      <c r="AB157" s="26"/>
      <c r="AC157" s="512"/>
      <c r="AD157" s="512"/>
    </row>
    <row r="158" spans="2:30" ht="10.5" customHeight="1">
      <c r="B158" s="283"/>
      <c r="C158" s="378" t="s">
        <v>1760</v>
      </c>
      <c r="D158" s="444">
        <v>53400</v>
      </c>
      <c r="E158" s="283"/>
      <c r="F158" s="283" t="s">
        <v>827</v>
      </c>
      <c r="G158" s="1009" t="s">
        <v>1195</v>
      </c>
      <c r="H158" s="1009" t="s">
        <v>1196</v>
      </c>
      <c r="I158" s="1010" t="s">
        <v>1197</v>
      </c>
      <c r="J158" s="1010" t="s">
        <v>2578</v>
      </c>
      <c r="K158" s="1011" t="s">
        <v>1145</v>
      </c>
      <c r="L158" s="1012" t="s">
        <v>419</v>
      </c>
      <c r="M158" s="1097" t="s">
        <v>2565</v>
      </c>
      <c r="N158" s="1097" t="s">
        <v>1311</v>
      </c>
      <c r="O158" s="1287" t="s">
        <v>4082</v>
      </c>
      <c r="P158" s="554" t="s">
        <v>1504</v>
      </c>
      <c r="Q158" s="292"/>
      <c r="R158" s="170"/>
      <c r="S158" s="389"/>
      <c r="T158" s="501" t="s">
        <v>2372</v>
      </c>
      <c r="U158" s="501" t="s">
        <v>1925</v>
      </c>
      <c r="W158" s="431" t="s">
        <v>2372</v>
      </c>
      <c r="X158" s="431" t="s">
        <v>3328</v>
      </c>
      <c r="Z158" s="431"/>
      <c r="AA158" s="26"/>
      <c r="AB158" s="26"/>
      <c r="AC158" s="931"/>
      <c r="AD158" s="512"/>
    </row>
    <row r="159" spans="2:30" ht="10.5" customHeight="1">
      <c r="B159" s="283"/>
      <c r="C159" s="378" t="s">
        <v>1197</v>
      </c>
      <c r="D159" s="444">
        <v>48500</v>
      </c>
      <c r="E159" s="283"/>
      <c r="F159" s="283" t="s">
        <v>826</v>
      </c>
      <c r="G159" s="1009" t="s">
        <v>1755</v>
      </c>
      <c r="H159" s="1009" t="s">
        <v>1196</v>
      </c>
      <c r="I159" s="1010" t="s">
        <v>1756</v>
      </c>
      <c r="J159" s="1010" t="s">
        <v>2578</v>
      </c>
      <c r="K159" s="1011" t="s">
        <v>1146</v>
      </c>
      <c r="L159" s="1012" t="s">
        <v>419</v>
      </c>
      <c r="M159" s="1097" t="s">
        <v>2565</v>
      </c>
      <c r="N159" s="1097" t="s">
        <v>1675</v>
      </c>
      <c r="O159" s="1287" t="s">
        <v>4083</v>
      </c>
      <c r="P159" s="554" t="s">
        <v>1506</v>
      </c>
      <c r="Q159" s="292"/>
      <c r="R159" s="170"/>
      <c r="S159" s="389"/>
      <c r="T159" s="501" t="s">
        <v>1505</v>
      </c>
      <c r="U159" s="501" t="s">
        <v>2454</v>
      </c>
      <c r="W159" s="431" t="s">
        <v>1505</v>
      </c>
      <c r="X159" s="431" t="s">
        <v>3328</v>
      </c>
      <c r="Z159" s="431"/>
      <c r="AA159" s="26"/>
      <c r="AB159" s="26"/>
      <c r="AC159" s="931"/>
      <c r="AD159" s="512"/>
    </row>
    <row r="160" spans="2:30" ht="10.5" customHeight="1">
      <c r="B160" s="283"/>
      <c r="C160" s="378" t="s">
        <v>1023</v>
      </c>
      <c r="D160" s="444">
        <v>58900</v>
      </c>
      <c r="E160" s="283"/>
      <c r="F160" s="283" t="s">
        <v>829</v>
      </c>
      <c r="G160" s="1009" t="s">
        <v>1757</v>
      </c>
      <c r="H160" s="1009" t="s">
        <v>1196</v>
      </c>
      <c r="I160" s="1010" t="s">
        <v>1758</v>
      </c>
      <c r="J160" s="1010" t="s">
        <v>2578</v>
      </c>
      <c r="K160" s="1011" t="s">
        <v>1147</v>
      </c>
      <c r="L160" s="1012" t="s">
        <v>419</v>
      </c>
      <c r="M160" s="1097" t="s">
        <v>2565</v>
      </c>
      <c r="N160" s="1097" t="s">
        <v>1675</v>
      </c>
      <c r="O160" s="1287" t="s">
        <v>4084</v>
      </c>
      <c r="P160" s="554" t="s">
        <v>458</v>
      </c>
      <c r="Q160" s="292"/>
      <c r="R160" s="170"/>
      <c r="S160" s="389"/>
      <c r="T160" s="501" t="s">
        <v>932</v>
      </c>
      <c r="U160" s="501" t="s">
        <v>1299</v>
      </c>
      <c r="W160" s="431" t="s">
        <v>932</v>
      </c>
      <c r="X160" s="431" t="s">
        <v>3328</v>
      </c>
      <c r="Z160" s="431"/>
      <c r="AA160" s="26"/>
      <c r="AB160" s="26"/>
      <c r="AC160" s="931"/>
      <c r="AD160" s="512"/>
    </row>
    <row r="161" spans="2:30" ht="10.5" customHeight="1">
      <c r="B161" s="283"/>
      <c r="C161" s="378" t="s">
        <v>1756</v>
      </c>
      <c r="D161" s="444">
        <v>40100</v>
      </c>
      <c r="E161" s="283"/>
      <c r="F161" s="283" t="s">
        <v>828</v>
      </c>
      <c r="G161" s="1009" t="s">
        <v>1759</v>
      </c>
      <c r="H161" s="1009" t="s">
        <v>1196</v>
      </c>
      <c r="I161" s="1013" t="s">
        <v>1760</v>
      </c>
      <c r="J161" s="1013" t="s">
        <v>2579</v>
      </c>
      <c r="K161" s="1011" t="s">
        <v>1148</v>
      </c>
      <c r="L161" s="1012" t="s">
        <v>420</v>
      </c>
      <c r="M161" s="1097" t="s">
        <v>1181</v>
      </c>
      <c r="N161" s="1097" t="s">
        <v>1760</v>
      </c>
      <c r="O161" s="1287" t="s">
        <v>4085</v>
      </c>
      <c r="P161" s="554" t="s">
        <v>2054</v>
      </c>
      <c r="Q161" s="292"/>
      <c r="R161" s="170"/>
      <c r="S161" s="389"/>
      <c r="T161" s="501" t="s">
        <v>459</v>
      </c>
      <c r="U161" s="501" t="s">
        <v>2496</v>
      </c>
      <c r="W161" s="431" t="s">
        <v>2055</v>
      </c>
      <c r="X161" s="431" t="s">
        <v>3328</v>
      </c>
      <c r="Z161" s="431"/>
      <c r="AA161" s="26"/>
      <c r="AB161" s="26"/>
      <c r="AC161" s="931"/>
      <c r="AD161" s="512"/>
    </row>
    <row r="162" spans="2:30" ht="10.5" customHeight="1">
      <c r="B162" s="283"/>
      <c r="C162" s="378" t="s">
        <v>753</v>
      </c>
      <c r="D162" s="444">
        <v>74800</v>
      </c>
      <c r="E162" s="283"/>
      <c r="F162" s="283" t="s">
        <v>830</v>
      </c>
      <c r="G162" s="1009" t="s">
        <v>1761</v>
      </c>
      <c r="H162" s="1009" t="s">
        <v>1196</v>
      </c>
      <c r="I162" s="1013" t="s">
        <v>154</v>
      </c>
      <c r="J162" s="1013" t="s">
        <v>2578</v>
      </c>
      <c r="K162" s="1011" t="s">
        <v>1149</v>
      </c>
      <c r="L162" s="1012" t="s">
        <v>419</v>
      </c>
      <c r="M162" s="1097" t="s">
        <v>2565</v>
      </c>
      <c r="N162" s="1097" t="s">
        <v>1305</v>
      </c>
      <c r="O162" s="1287" t="s">
        <v>4086</v>
      </c>
      <c r="P162" s="554" t="s">
        <v>2056</v>
      </c>
      <c r="Q162" s="292"/>
      <c r="R162" s="170"/>
      <c r="S162" s="389"/>
      <c r="T162" s="501" t="s">
        <v>2055</v>
      </c>
      <c r="U162" s="501" t="s">
        <v>329</v>
      </c>
      <c r="W162" s="431" t="s">
        <v>2059</v>
      </c>
      <c r="X162" s="431" t="s">
        <v>3328</v>
      </c>
      <c r="Z162" s="431"/>
      <c r="AA162" s="26"/>
      <c r="AB162" s="26"/>
      <c r="AC162" s="931"/>
      <c r="AD162" s="512"/>
    </row>
    <row r="163" spans="2:30" ht="10.5" customHeight="1">
      <c r="B163" s="283"/>
      <c r="C163" s="378" t="s">
        <v>754</v>
      </c>
      <c r="D163" s="444">
        <v>62300</v>
      </c>
      <c r="E163" s="283"/>
      <c r="F163" s="283" t="s">
        <v>831</v>
      </c>
      <c r="G163" s="1009" t="s">
        <v>1295</v>
      </c>
      <c r="H163" s="1009" t="s">
        <v>1296</v>
      </c>
      <c r="I163" s="1010" t="s">
        <v>1297</v>
      </c>
      <c r="J163" s="1010" t="s">
        <v>2578</v>
      </c>
      <c r="K163" s="1011" t="s">
        <v>1798</v>
      </c>
      <c r="L163" s="1012" t="s">
        <v>419</v>
      </c>
      <c r="M163" s="1097" t="s">
        <v>2565</v>
      </c>
      <c r="N163" s="1097" t="s">
        <v>164</v>
      </c>
      <c r="O163" s="1287" t="s">
        <v>4087</v>
      </c>
      <c r="P163" s="554" t="s">
        <v>2058</v>
      </c>
      <c r="Q163" s="292"/>
      <c r="R163" s="170"/>
      <c r="S163" s="389"/>
      <c r="T163" s="501" t="s">
        <v>2057</v>
      </c>
      <c r="U163" s="501" t="s">
        <v>182</v>
      </c>
      <c r="W163" s="431" t="s">
        <v>1760</v>
      </c>
      <c r="X163" s="431" t="s">
        <v>3328</v>
      </c>
      <c r="Z163" s="431"/>
      <c r="AA163" s="26"/>
      <c r="AB163" s="26"/>
      <c r="AC163" s="931"/>
      <c r="AD163" s="512"/>
    </row>
    <row r="164" spans="2:30" ht="10.5" customHeight="1">
      <c r="B164" s="283"/>
      <c r="C164" s="378" t="s">
        <v>1758</v>
      </c>
      <c r="D164" s="444">
        <v>51200</v>
      </c>
      <c r="E164" s="283"/>
      <c r="F164" s="283" t="s">
        <v>832</v>
      </c>
      <c r="G164" s="1009" t="s">
        <v>1298</v>
      </c>
      <c r="H164" s="1009" t="s">
        <v>1296</v>
      </c>
      <c r="I164" s="1013" t="s">
        <v>753</v>
      </c>
      <c r="J164" s="1013" t="s">
        <v>2579</v>
      </c>
      <c r="K164" s="1011" t="s">
        <v>2543</v>
      </c>
      <c r="L164" s="1012" t="s">
        <v>420</v>
      </c>
      <c r="M164" s="1097" t="s">
        <v>1181</v>
      </c>
      <c r="N164" s="1097" t="s">
        <v>1190</v>
      </c>
      <c r="O164" s="1287" t="s">
        <v>4088</v>
      </c>
      <c r="P164" s="554" t="s">
        <v>2060</v>
      </c>
      <c r="Q164" s="292"/>
      <c r="R164" s="170"/>
      <c r="S164" s="389"/>
      <c r="T164" s="501" t="s">
        <v>2059</v>
      </c>
      <c r="U164" s="501" t="s">
        <v>110</v>
      </c>
      <c r="W164" s="431" t="s">
        <v>440</v>
      </c>
      <c r="X164" s="431" t="s">
        <v>3328</v>
      </c>
      <c r="Z164" s="431"/>
      <c r="AA164" s="26"/>
      <c r="AB164" s="26"/>
      <c r="AC164" s="931"/>
      <c r="AD164" s="512"/>
    </row>
    <row r="165" spans="2:30" ht="10.5" customHeight="1">
      <c r="B165" s="283"/>
      <c r="C165" s="378" t="s">
        <v>154</v>
      </c>
      <c r="D165" s="444">
        <v>51500</v>
      </c>
      <c r="E165" s="283"/>
      <c r="F165" s="283" t="s">
        <v>834</v>
      </c>
      <c r="G165" s="1009" t="s">
        <v>1299</v>
      </c>
      <c r="H165" s="1009" t="s">
        <v>1296</v>
      </c>
      <c r="I165" s="1013" t="s">
        <v>753</v>
      </c>
      <c r="J165" s="1013" t="s">
        <v>2579</v>
      </c>
      <c r="K165" s="1011" t="s">
        <v>2543</v>
      </c>
      <c r="L165" s="1012" t="s">
        <v>420</v>
      </c>
      <c r="M165" s="1097" t="s">
        <v>1181</v>
      </c>
      <c r="N165" s="1097" t="s">
        <v>1190</v>
      </c>
      <c r="O165" s="1287" t="s">
        <v>4089</v>
      </c>
      <c r="P165" s="554" t="s">
        <v>2062</v>
      </c>
      <c r="Q165" s="292"/>
      <c r="R165" s="170"/>
      <c r="S165" s="389"/>
      <c r="T165" s="501" t="s">
        <v>2061</v>
      </c>
      <c r="U165" s="501" t="s">
        <v>1302</v>
      </c>
      <c r="W165" s="431" t="s">
        <v>442</v>
      </c>
      <c r="X165" s="431" t="s">
        <v>3328</v>
      </c>
      <c r="Z165" s="431"/>
      <c r="AA165" s="26"/>
      <c r="AB165" s="26"/>
      <c r="AC165" s="931"/>
      <c r="AD165" s="512"/>
    </row>
    <row r="166" spans="2:30" ht="10.5" customHeight="1">
      <c r="B166" s="283"/>
      <c r="C166" s="378" t="s">
        <v>1297</v>
      </c>
      <c r="D166" s="444">
        <v>53300</v>
      </c>
      <c r="E166" s="283"/>
      <c r="F166" s="283" t="s">
        <v>833</v>
      </c>
      <c r="G166" s="1009" t="s">
        <v>1300</v>
      </c>
      <c r="H166" s="1009" t="s">
        <v>1196</v>
      </c>
      <c r="I166" s="1010" t="s">
        <v>1301</v>
      </c>
      <c r="J166" s="1010" t="s">
        <v>2578</v>
      </c>
      <c r="K166" s="1011" t="s">
        <v>2544</v>
      </c>
      <c r="L166" s="1012" t="s">
        <v>419</v>
      </c>
      <c r="M166" s="1097" t="s">
        <v>2565</v>
      </c>
      <c r="N166" s="1097" t="s">
        <v>1760</v>
      </c>
      <c r="O166" s="1287" t="s">
        <v>4090</v>
      </c>
      <c r="P166" s="554" t="s">
        <v>1936</v>
      </c>
      <c r="Q166" s="520"/>
      <c r="R166" s="170"/>
      <c r="S166" s="389"/>
      <c r="T166" s="501" t="s">
        <v>1760</v>
      </c>
      <c r="U166" s="501" t="s">
        <v>942</v>
      </c>
      <c r="W166" s="431" t="s">
        <v>1823</v>
      </c>
      <c r="X166" s="431" t="s">
        <v>3328</v>
      </c>
      <c r="Z166" s="431"/>
      <c r="AA166" s="26"/>
      <c r="AB166" s="26"/>
      <c r="AC166" s="931"/>
      <c r="AD166" s="512"/>
    </row>
    <row r="167" spans="2:30" ht="10.5" customHeight="1">
      <c r="B167" s="283"/>
      <c r="C167" s="379" t="s">
        <v>1026</v>
      </c>
      <c r="D167" s="444">
        <v>38200</v>
      </c>
      <c r="E167" s="283"/>
      <c r="F167" s="283" t="s">
        <v>835</v>
      </c>
      <c r="G167" s="1009" t="s">
        <v>1302</v>
      </c>
      <c r="H167" s="1009" t="s">
        <v>1196</v>
      </c>
      <c r="I167" s="1010" t="s">
        <v>1303</v>
      </c>
      <c r="J167" s="1010" t="s">
        <v>2578</v>
      </c>
      <c r="K167" s="1011" t="s">
        <v>2545</v>
      </c>
      <c r="L167" s="1012" t="s">
        <v>419</v>
      </c>
      <c r="M167" s="1097" t="s">
        <v>2565</v>
      </c>
      <c r="N167" s="1097" t="s">
        <v>1675</v>
      </c>
      <c r="O167" s="1287" t="s">
        <v>4091</v>
      </c>
      <c r="P167" s="554" t="s">
        <v>178</v>
      </c>
      <c r="Q167" s="520"/>
      <c r="R167" s="283"/>
      <c r="S167" s="389"/>
      <c r="T167" s="501" t="s">
        <v>1937</v>
      </c>
      <c r="U167" s="501" t="s">
        <v>425</v>
      </c>
      <c r="W167" s="431" t="s">
        <v>2515</v>
      </c>
      <c r="X167" s="431" t="s">
        <v>3328</v>
      </c>
      <c r="Z167" s="431"/>
      <c r="AA167" s="26"/>
      <c r="AB167" s="26"/>
      <c r="AC167" s="931"/>
      <c r="AD167" s="512"/>
    </row>
    <row r="168" spans="2:30" ht="10.5" customHeight="1">
      <c r="B168" s="283"/>
      <c r="C168" s="379" t="s">
        <v>1303</v>
      </c>
      <c r="D168" s="444">
        <v>44300</v>
      </c>
      <c r="E168" s="283"/>
      <c r="F168" s="283" t="s">
        <v>836</v>
      </c>
      <c r="G168" s="1009" t="s">
        <v>1304</v>
      </c>
      <c r="H168" s="1009" t="s">
        <v>1774</v>
      </c>
      <c r="I168" s="1013" t="s">
        <v>1305</v>
      </c>
      <c r="J168" s="1013" t="s">
        <v>2579</v>
      </c>
      <c r="K168" s="1011" t="s">
        <v>2546</v>
      </c>
      <c r="L168" s="1012" t="s">
        <v>420</v>
      </c>
      <c r="M168" s="1097" t="s">
        <v>1181</v>
      </c>
      <c r="N168" s="1097" t="s">
        <v>1305</v>
      </c>
      <c r="O168" s="1287" t="s">
        <v>4092</v>
      </c>
      <c r="P168" s="554" t="s">
        <v>180</v>
      </c>
      <c r="Q168" s="520"/>
      <c r="R168" s="170"/>
      <c r="S168" s="389"/>
      <c r="T168" s="501" t="s">
        <v>179</v>
      </c>
      <c r="U168" s="501" t="s">
        <v>1440</v>
      </c>
      <c r="W168" s="431" t="s">
        <v>2521</v>
      </c>
      <c r="X168" s="431" t="s">
        <v>3328</v>
      </c>
      <c r="Z168" s="431"/>
      <c r="AA168" s="26"/>
      <c r="AB168" s="26"/>
      <c r="AC168" s="931"/>
      <c r="AD168" s="512"/>
    </row>
    <row r="169" spans="2:30" ht="10.5" customHeight="1">
      <c r="B169" s="283"/>
      <c r="C169" s="379" t="s">
        <v>1307</v>
      </c>
      <c r="D169" s="444">
        <v>53100</v>
      </c>
      <c r="E169" s="283"/>
      <c r="F169" s="283" t="s">
        <v>837</v>
      </c>
      <c r="G169" s="1009" t="s">
        <v>1306</v>
      </c>
      <c r="H169" s="1009" t="s">
        <v>1196</v>
      </c>
      <c r="I169" s="1013" t="s">
        <v>1307</v>
      </c>
      <c r="J169" s="1013" t="s">
        <v>2578</v>
      </c>
      <c r="K169" s="1011" t="s">
        <v>2547</v>
      </c>
      <c r="L169" s="1012" t="s">
        <v>419</v>
      </c>
      <c r="M169" s="1097" t="s">
        <v>2565</v>
      </c>
      <c r="N169" s="1097" t="s">
        <v>1305</v>
      </c>
      <c r="O169" s="1287" t="s">
        <v>4093</v>
      </c>
      <c r="P169" s="554" t="s">
        <v>439</v>
      </c>
      <c r="Q169" s="292"/>
      <c r="R169" s="170"/>
      <c r="S169" s="389"/>
      <c r="T169" s="501" t="s">
        <v>181</v>
      </c>
      <c r="U169" s="501" t="s">
        <v>2368</v>
      </c>
      <c r="W169" s="431" t="s">
        <v>2526</v>
      </c>
      <c r="X169" s="431" t="s">
        <v>3328</v>
      </c>
      <c r="Z169" s="431"/>
      <c r="AA169" s="26"/>
      <c r="AB169" s="26"/>
      <c r="AC169" s="931"/>
      <c r="AD169" s="512"/>
    </row>
    <row r="170" spans="2:30" ht="10.5" customHeight="1">
      <c r="B170" s="283"/>
      <c r="C170" s="378" t="s">
        <v>9</v>
      </c>
      <c r="D170" s="444">
        <v>53000</v>
      </c>
      <c r="E170" s="283"/>
      <c r="F170" s="283" t="s">
        <v>841</v>
      </c>
      <c r="G170" s="1009" t="s">
        <v>1308</v>
      </c>
      <c r="H170" s="1009" t="s">
        <v>1196</v>
      </c>
      <c r="I170" s="1010" t="s">
        <v>9</v>
      </c>
      <c r="J170" s="1010" t="s">
        <v>2579</v>
      </c>
      <c r="K170" s="1011" t="s">
        <v>2548</v>
      </c>
      <c r="L170" s="1012" t="s">
        <v>420</v>
      </c>
      <c r="M170" s="1097" t="s">
        <v>1181</v>
      </c>
      <c r="N170" s="1097" t="s">
        <v>1675</v>
      </c>
      <c r="O170" s="1287" t="s">
        <v>4094</v>
      </c>
      <c r="P170" s="554" t="s">
        <v>441</v>
      </c>
      <c r="Q170" s="292"/>
      <c r="R170" s="170"/>
      <c r="S170" s="389"/>
      <c r="T170" s="501" t="s">
        <v>440</v>
      </c>
      <c r="U170" s="501" t="s">
        <v>1757</v>
      </c>
      <c r="W170" s="431" t="s">
        <v>164</v>
      </c>
      <c r="X170" s="431" t="s">
        <v>3328</v>
      </c>
      <c r="Z170" s="431"/>
      <c r="AA170" s="26"/>
      <c r="AB170" s="26"/>
      <c r="AC170" s="931"/>
      <c r="AD170" s="512"/>
    </row>
    <row r="171" spans="2:30" ht="10.5" customHeight="1">
      <c r="B171" s="283"/>
      <c r="C171" s="379" t="s">
        <v>1313</v>
      </c>
      <c r="D171" s="444">
        <v>46900</v>
      </c>
      <c r="E171" s="283"/>
      <c r="F171" s="283" t="s">
        <v>838</v>
      </c>
      <c r="G171" s="1009" t="s">
        <v>1309</v>
      </c>
      <c r="H171" s="1009" t="s">
        <v>1196</v>
      </c>
      <c r="I171" s="1010" t="s">
        <v>1675</v>
      </c>
      <c r="J171" s="1010" t="s">
        <v>2579</v>
      </c>
      <c r="K171" s="1011" t="s">
        <v>2549</v>
      </c>
      <c r="L171" s="1012" t="s">
        <v>420</v>
      </c>
      <c r="M171" s="1097" t="s">
        <v>1181</v>
      </c>
      <c r="N171" s="1097" t="s">
        <v>1675</v>
      </c>
      <c r="O171" s="1287" t="s">
        <v>4095</v>
      </c>
      <c r="P171" s="554" t="s">
        <v>443</v>
      </c>
      <c r="Q171" s="292"/>
      <c r="R171" s="170"/>
      <c r="S171" s="389"/>
      <c r="T171" s="501" t="s">
        <v>442</v>
      </c>
      <c r="U171" s="501" t="s">
        <v>1191</v>
      </c>
      <c r="W171" s="431" t="s">
        <v>1190</v>
      </c>
      <c r="X171" s="431" t="s">
        <v>3328</v>
      </c>
      <c r="Z171" s="431"/>
      <c r="AA171" s="26"/>
      <c r="AB171" s="26"/>
      <c r="AC171" s="931"/>
      <c r="AD171" s="512"/>
    </row>
    <row r="172" spans="2:30" ht="10.5" customHeight="1">
      <c r="B172" s="283"/>
      <c r="C172" s="378" t="s">
        <v>1024</v>
      </c>
      <c r="D172" s="444">
        <v>56600</v>
      </c>
      <c r="E172" s="283"/>
      <c r="F172" s="283" t="s">
        <v>839</v>
      </c>
      <c r="G172" s="1009" t="s">
        <v>1310</v>
      </c>
      <c r="H172" s="1009" t="s">
        <v>1196</v>
      </c>
      <c r="I172" s="1013" t="s">
        <v>1311</v>
      </c>
      <c r="J172" s="1013" t="s">
        <v>2579</v>
      </c>
      <c r="K172" s="1011" t="s">
        <v>1447</v>
      </c>
      <c r="L172" s="1012" t="s">
        <v>420</v>
      </c>
      <c r="M172" s="1097" t="s">
        <v>1181</v>
      </c>
      <c r="N172" s="1097" t="s">
        <v>1311</v>
      </c>
      <c r="O172" s="1287" t="s">
        <v>4096</v>
      </c>
      <c r="P172" s="554" t="s">
        <v>445</v>
      </c>
      <c r="Q172" s="292"/>
      <c r="R172" s="170"/>
      <c r="S172" s="389"/>
      <c r="T172" s="501" t="s">
        <v>444</v>
      </c>
      <c r="U172" s="501" t="s">
        <v>182</v>
      </c>
      <c r="W172" s="431" t="s">
        <v>2045</v>
      </c>
      <c r="X172" s="431" t="s">
        <v>3328</v>
      </c>
      <c r="Z172" s="431"/>
      <c r="AA172" s="26"/>
      <c r="AB172" s="26"/>
      <c r="AC172" s="931"/>
      <c r="AD172" s="512"/>
    </row>
    <row r="173" spans="2:30" ht="10.5" customHeight="1">
      <c r="B173" s="283"/>
      <c r="C173" s="379" t="s">
        <v>1318</v>
      </c>
      <c r="D173" s="444">
        <v>35000</v>
      </c>
      <c r="E173" s="283"/>
      <c r="F173" s="283" t="s">
        <v>840</v>
      </c>
      <c r="G173" s="1009" t="s">
        <v>1312</v>
      </c>
      <c r="H173" s="1009" t="s">
        <v>1196</v>
      </c>
      <c r="I173" s="1013" t="s">
        <v>1313</v>
      </c>
      <c r="J173" s="1013" t="s">
        <v>2578</v>
      </c>
      <c r="K173" s="1011" t="s">
        <v>2563</v>
      </c>
      <c r="L173" s="1012" t="s">
        <v>419</v>
      </c>
      <c r="M173" s="1097" t="s">
        <v>2565</v>
      </c>
      <c r="N173" s="1097" t="s">
        <v>1311</v>
      </c>
      <c r="O173" s="1287" t="s">
        <v>4097</v>
      </c>
      <c r="P173" s="554" t="s">
        <v>2233</v>
      </c>
      <c r="Q173" s="292"/>
      <c r="R173" s="170"/>
      <c r="S173" s="389"/>
      <c r="T173" s="501" t="s">
        <v>446</v>
      </c>
      <c r="U173" s="501" t="s">
        <v>120</v>
      </c>
      <c r="W173" s="431" t="s">
        <v>1315</v>
      </c>
      <c r="X173" s="431" t="s">
        <v>3328</v>
      </c>
      <c r="Z173" s="431"/>
      <c r="AA173" s="26"/>
      <c r="AB173" s="26"/>
      <c r="AC173" s="931"/>
      <c r="AD173" s="512"/>
    </row>
    <row r="174" spans="2:30" ht="10.5" customHeight="1">
      <c r="B174" s="283"/>
      <c r="C174" s="379" t="s">
        <v>719</v>
      </c>
      <c r="D174" s="444">
        <v>63800</v>
      </c>
      <c r="E174" s="283"/>
      <c r="F174" s="283" t="s">
        <v>842</v>
      </c>
      <c r="G174" s="1009" t="s">
        <v>1314</v>
      </c>
      <c r="H174" s="1009" t="s">
        <v>1196</v>
      </c>
      <c r="I174" s="1013" t="s">
        <v>754</v>
      </c>
      <c r="J174" s="1013" t="s">
        <v>2579</v>
      </c>
      <c r="K174" s="1011" t="s">
        <v>2564</v>
      </c>
      <c r="L174" s="1012" t="s">
        <v>420</v>
      </c>
      <c r="M174" s="1097" t="s">
        <v>2565</v>
      </c>
      <c r="N174" s="1097" t="s">
        <v>1315</v>
      </c>
      <c r="O174" s="1287" t="s">
        <v>4098</v>
      </c>
      <c r="P174" s="554" t="s">
        <v>2235</v>
      </c>
      <c r="Q174" s="292"/>
      <c r="R174" s="170"/>
      <c r="S174" s="389"/>
      <c r="T174" s="501" t="s">
        <v>2234</v>
      </c>
      <c r="U174" s="501" t="s">
        <v>2455</v>
      </c>
      <c r="W174" s="431" t="s">
        <v>2048</v>
      </c>
      <c r="X174" s="431" t="s">
        <v>3328</v>
      </c>
      <c r="Z174" s="431"/>
      <c r="AA174" s="26"/>
      <c r="AB174" s="26"/>
      <c r="AC174" s="931"/>
      <c r="AD174" s="512"/>
    </row>
    <row r="175" spans="2:30" ht="10.5" customHeight="1">
      <c r="B175" s="283"/>
      <c r="C175" s="379" t="s">
        <v>721</v>
      </c>
      <c r="D175" s="444">
        <v>37200</v>
      </c>
      <c r="E175" s="283"/>
      <c r="F175" s="283" t="s">
        <v>843</v>
      </c>
      <c r="G175" s="1009" t="s">
        <v>1316</v>
      </c>
      <c r="H175" s="1009" t="s">
        <v>1296</v>
      </c>
      <c r="I175" s="1013" t="s">
        <v>1024</v>
      </c>
      <c r="J175" s="1013" t="s">
        <v>2579</v>
      </c>
      <c r="K175" s="1011" t="s">
        <v>1242</v>
      </c>
      <c r="L175" s="1012" t="s">
        <v>420</v>
      </c>
      <c r="M175" s="1097" t="s">
        <v>2565</v>
      </c>
      <c r="N175" s="1097" t="s">
        <v>1190</v>
      </c>
      <c r="O175" s="1287" t="s">
        <v>4099</v>
      </c>
      <c r="P175" s="554" t="s">
        <v>365</v>
      </c>
      <c r="Q175" s="292"/>
      <c r="R175" s="170"/>
      <c r="S175" s="389"/>
      <c r="T175" s="501" t="s">
        <v>1823</v>
      </c>
      <c r="U175" s="501" t="s">
        <v>2150</v>
      </c>
      <c r="W175" s="431" t="s">
        <v>2081</v>
      </c>
      <c r="X175" s="431" t="s">
        <v>3328</v>
      </c>
      <c r="Z175" s="431"/>
      <c r="AA175" s="26"/>
      <c r="AB175" s="26"/>
      <c r="AC175" s="931"/>
      <c r="AD175" s="512"/>
    </row>
    <row r="176" spans="2:30" ht="10.5" customHeight="1">
      <c r="B176" s="283"/>
      <c r="C176" s="378" t="s">
        <v>156</v>
      </c>
      <c r="D176" s="444">
        <v>55400</v>
      </c>
      <c r="E176" s="283"/>
      <c r="F176" s="283" t="s">
        <v>844</v>
      </c>
      <c r="G176" s="1009" t="s">
        <v>1317</v>
      </c>
      <c r="H176" s="1009" t="s">
        <v>1196</v>
      </c>
      <c r="I176" s="1010" t="s">
        <v>1318</v>
      </c>
      <c r="J176" s="1010" t="s">
        <v>2578</v>
      </c>
      <c r="K176" s="1011" t="s">
        <v>1243</v>
      </c>
      <c r="L176" s="1012" t="s">
        <v>419</v>
      </c>
      <c r="M176" s="1097" t="s">
        <v>2565</v>
      </c>
      <c r="N176" s="1097" t="s">
        <v>1760</v>
      </c>
      <c r="O176" s="1287" t="s">
        <v>4100</v>
      </c>
      <c r="P176" s="554" t="s">
        <v>367</v>
      </c>
      <c r="Q176" s="292"/>
      <c r="R176" s="170"/>
      <c r="S176" s="389"/>
      <c r="T176" s="501" t="s">
        <v>366</v>
      </c>
      <c r="U176" s="501" t="s">
        <v>2150</v>
      </c>
      <c r="W176" s="431" t="s">
        <v>2085</v>
      </c>
      <c r="X176" s="431" t="s">
        <v>3328</v>
      </c>
      <c r="Z176" s="431"/>
      <c r="AA176" s="26"/>
      <c r="AB176" s="26"/>
      <c r="AC176" s="931"/>
      <c r="AD176" s="512"/>
    </row>
    <row r="177" spans="2:30" ht="10.5" customHeight="1">
      <c r="B177" s="283"/>
      <c r="C177" s="378" t="s">
        <v>1503</v>
      </c>
      <c r="D177" s="444">
        <v>61700</v>
      </c>
      <c r="E177" s="283"/>
      <c r="F177" s="283" t="s">
        <v>847</v>
      </c>
      <c r="G177" s="1009" t="s">
        <v>1319</v>
      </c>
      <c r="H177" s="1009" t="s">
        <v>1196</v>
      </c>
      <c r="I177" s="1013" t="s">
        <v>719</v>
      </c>
      <c r="J177" s="1013" t="s">
        <v>2578</v>
      </c>
      <c r="K177" s="1011" t="s">
        <v>1244</v>
      </c>
      <c r="L177" s="1012" t="s">
        <v>419</v>
      </c>
      <c r="M177" s="1097" t="s">
        <v>2565</v>
      </c>
      <c r="N177" s="1097" t="s">
        <v>1675</v>
      </c>
      <c r="O177" s="1287" t="s">
        <v>4101</v>
      </c>
      <c r="P177" s="554" t="s">
        <v>2512</v>
      </c>
      <c r="Q177" s="292"/>
      <c r="R177" s="170"/>
      <c r="S177" s="389"/>
      <c r="T177" s="501" t="s">
        <v>1195</v>
      </c>
      <c r="U177" s="501" t="s">
        <v>2495</v>
      </c>
      <c r="W177" s="431" t="s">
        <v>1761</v>
      </c>
      <c r="X177" s="431" t="s">
        <v>3328</v>
      </c>
      <c r="Z177" s="431"/>
      <c r="AA177" s="26"/>
      <c r="AB177" s="26"/>
      <c r="AC177" s="931"/>
      <c r="AD177" s="512"/>
    </row>
    <row r="178" spans="2:30" ht="10.5" customHeight="1">
      <c r="B178" s="283"/>
      <c r="C178" s="378" t="s">
        <v>161</v>
      </c>
      <c r="D178" s="444">
        <v>42900</v>
      </c>
      <c r="E178" s="283"/>
      <c r="F178" s="283" t="s">
        <v>846</v>
      </c>
      <c r="G178" s="1009" t="s">
        <v>720</v>
      </c>
      <c r="H178" s="1009" t="s">
        <v>1196</v>
      </c>
      <c r="I178" s="1010" t="s">
        <v>721</v>
      </c>
      <c r="J178" s="1010" t="s">
        <v>2578</v>
      </c>
      <c r="K178" s="1011" t="s">
        <v>1690</v>
      </c>
      <c r="L178" s="1012" t="s">
        <v>419</v>
      </c>
      <c r="M178" s="1097" t="s">
        <v>2565</v>
      </c>
      <c r="N178" s="1097" t="s">
        <v>1311</v>
      </c>
      <c r="O178" s="1287" t="s">
        <v>4102</v>
      </c>
      <c r="P178" s="554" t="s">
        <v>2514</v>
      </c>
      <c r="Q178" s="292"/>
      <c r="R178" s="170"/>
      <c r="S178" s="389"/>
      <c r="T178" s="501" t="s">
        <v>2513</v>
      </c>
      <c r="U178" s="501" t="s">
        <v>2500</v>
      </c>
      <c r="W178" s="431" t="s">
        <v>994</v>
      </c>
      <c r="X178" s="431" t="s">
        <v>3328</v>
      </c>
      <c r="Z178" s="431"/>
      <c r="AA178" s="26"/>
      <c r="AB178" s="26"/>
      <c r="AC178" s="931"/>
      <c r="AD178" s="512"/>
    </row>
    <row r="179" spans="2:30" ht="10.5" customHeight="1">
      <c r="B179" s="283"/>
      <c r="C179" s="378" t="s">
        <v>2450</v>
      </c>
      <c r="D179" s="444">
        <v>30600</v>
      </c>
      <c r="E179" s="283"/>
      <c r="F179" s="283" t="s">
        <v>845</v>
      </c>
      <c r="G179" s="1009" t="s">
        <v>722</v>
      </c>
      <c r="H179" s="1009" t="s">
        <v>1296</v>
      </c>
      <c r="I179" s="1013" t="s">
        <v>753</v>
      </c>
      <c r="J179" s="1013" t="s">
        <v>2579</v>
      </c>
      <c r="K179" s="1011" t="s">
        <v>2543</v>
      </c>
      <c r="L179" s="1012" t="s">
        <v>420</v>
      </c>
      <c r="M179" s="1097" t="s">
        <v>1181</v>
      </c>
      <c r="N179" s="1097" t="s">
        <v>1190</v>
      </c>
      <c r="O179" s="1287" t="s">
        <v>4103</v>
      </c>
      <c r="P179" s="554" t="s">
        <v>2516</v>
      </c>
      <c r="Q179" s="292"/>
      <c r="R179" s="170"/>
      <c r="S179" s="389"/>
      <c r="T179" s="501" t="s">
        <v>2515</v>
      </c>
      <c r="U179" s="501" t="s">
        <v>1084</v>
      </c>
      <c r="W179" s="431" t="s">
        <v>2413</v>
      </c>
      <c r="X179" s="431" t="s">
        <v>3328</v>
      </c>
      <c r="Z179" s="431"/>
      <c r="AA179" s="26"/>
      <c r="AB179" s="26"/>
      <c r="AC179" s="931"/>
      <c r="AD179" s="512"/>
    </row>
    <row r="180" spans="2:30" ht="10.5" customHeight="1">
      <c r="B180" s="283"/>
      <c r="C180" s="379" t="s">
        <v>2453</v>
      </c>
      <c r="D180" s="444">
        <v>43100</v>
      </c>
      <c r="E180" s="283"/>
      <c r="F180" s="283" t="s">
        <v>848</v>
      </c>
      <c r="G180" s="1009" t="s">
        <v>1502</v>
      </c>
      <c r="H180" s="1009" t="s">
        <v>1296</v>
      </c>
      <c r="I180" s="1013" t="s">
        <v>1503</v>
      </c>
      <c r="J180" s="1013" t="s">
        <v>2579</v>
      </c>
      <c r="K180" s="1011" t="s">
        <v>1659</v>
      </c>
      <c r="L180" s="1012" t="s">
        <v>420</v>
      </c>
      <c r="M180" s="1097" t="s">
        <v>2565</v>
      </c>
      <c r="N180" s="1097" t="s">
        <v>1503</v>
      </c>
      <c r="O180" s="1287" t="s">
        <v>4104</v>
      </c>
      <c r="P180" s="554" t="s">
        <v>2518</v>
      </c>
      <c r="Q180" s="292"/>
      <c r="R180" s="170"/>
      <c r="S180" s="389"/>
      <c r="T180" s="501" t="s">
        <v>2517</v>
      </c>
      <c r="U180" s="501" t="s">
        <v>320</v>
      </c>
      <c r="W180" s="431" t="s">
        <v>2415</v>
      </c>
      <c r="X180" s="431" t="s">
        <v>3328</v>
      </c>
      <c r="Z180" s="431"/>
      <c r="AA180" s="26"/>
      <c r="AB180" s="26"/>
      <c r="AC180" s="931"/>
      <c r="AD180" s="512"/>
    </row>
    <row r="181" spans="2:30" ht="10.5" customHeight="1">
      <c r="B181" s="283"/>
      <c r="C181" s="379" t="s">
        <v>2456</v>
      </c>
      <c r="D181" s="444">
        <v>44200</v>
      </c>
      <c r="E181" s="283"/>
      <c r="F181" s="283" t="s">
        <v>849</v>
      </c>
      <c r="G181" s="1009" t="s">
        <v>155</v>
      </c>
      <c r="H181" s="1009" t="s">
        <v>1196</v>
      </c>
      <c r="I181" s="1010" t="s">
        <v>156</v>
      </c>
      <c r="J181" s="1010" t="s">
        <v>2578</v>
      </c>
      <c r="K181" s="1011" t="s">
        <v>1660</v>
      </c>
      <c r="L181" s="1012" t="s">
        <v>419</v>
      </c>
      <c r="M181" s="1097" t="s">
        <v>2565</v>
      </c>
      <c r="N181" s="1097" t="s">
        <v>1675</v>
      </c>
      <c r="O181" s="1287" t="s">
        <v>4105</v>
      </c>
      <c r="P181" s="554" t="s">
        <v>2520</v>
      </c>
      <c r="Q181" s="292"/>
      <c r="R181" s="170"/>
      <c r="S181" s="389"/>
      <c r="T181" s="501" t="s">
        <v>2519</v>
      </c>
      <c r="U181" s="501" t="s">
        <v>2452</v>
      </c>
      <c r="W181" s="431" t="s">
        <v>2417</v>
      </c>
      <c r="X181" s="431" t="s">
        <v>3328</v>
      </c>
      <c r="Z181" s="431"/>
      <c r="AA181" s="26"/>
      <c r="AB181" s="26"/>
      <c r="AC181" s="931"/>
      <c r="AD181" s="512"/>
    </row>
    <row r="182" spans="2:30" ht="10.5" customHeight="1">
      <c r="B182" s="283"/>
      <c r="C182" s="379" t="s">
        <v>2494</v>
      </c>
      <c r="D182" s="444">
        <v>40600</v>
      </c>
      <c r="E182" s="283"/>
      <c r="F182" s="283" t="s">
        <v>1326</v>
      </c>
      <c r="G182" s="1009" t="s">
        <v>157</v>
      </c>
      <c r="H182" s="1009" t="s">
        <v>1774</v>
      </c>
      <c r="I182" s="1013" t="s">
        <v>1311</v>
      </c>
      <c r="J182" s="1013" t="s">
        <v>2579</v>
      </c>
      <c r="K182" s="1011" t="s">
        <v>1447</v>
      </c>
      <c r="L182" s="1012" t="s">
        <v>420</v>
      </c>
      <c r="M182" s="1097" t="s">
        <v>1181</v>
      </c>
      <c r="N182" s="1097" t="s">
        <v>1311</v>
      </c>
      <c r="O182" s="1287" t="s">
        <v>4106</v>
      </c>
      <c r="P182" s="554" t="s">
        <v>2522</v>
      </c>
      <c r="Q182" s="292"/>
      <c r="R182" s="170"/>
      <c r="S182" s="389"/>
      <c r="T182" s="501" t="s">
        <v>2521</v>
      </c>
      <c r="U182" s="501" t="s">
        <v>1317</v>
      </c>
      <c r="W182" s="431" t="s">
        <v>2420</v>
      </c>
      <c r="X182" s="431" t="s">
        <v>3328</v>
      </c>
      <c r="Z182" s="431"/>
      <c r="AA182" s="26"/>
      <c r="AB182" s="26"/>
      <c r="AC182" s="931"/>
      <c r="AD182" s="512"/>
    </row>
    <row r="183" spans="2:30" ht="10.5" customHeight="1">
      <c r="B183" s="283"/>
      <c r="C183" s="378" t="s">
        <v>159</v>
      </c>
      <c r="D183" s="444">
        <v>56000</v>
      </c>
      <c r="E183" s="283"/>
      <c r="F183" s="283" t="s">
        <v>850</v>
      </c>
      <c r="G183" s="1009" t="s">
        <v>158</v>
      </c>
      <c r="H183" s="1009" t="s">
        <v>1196</v>
      </c>
      <c r="I183" s="1013" t="s">
        <v>159</v>
      </c>
      <c r="J183" s="1013" t="s">
        <v>2579</v>
      </c>
      <c r="K183" s="1011" t="s">
        <v>1661</v>
      </c>
      <c r="L183" s="1012" t="s">
        <v>420</v>
      </c>
      <c r="M183" s="1097" t="s">
        <v>2565</v>
      </c>
      <c r="N183" s="1097" t="s">
        <v>159</v>
      </c>
      <c r="O183" s="1287" t="s">
        <v>4107</v>
      </c>
      <c r="P183" s="554" t="s">
        <v>2523</v>
      </c>
      <c r="Q183" s="292"/>
      <c r="R183" s="170"/>
      <c r="S183" s="389"/>
      <c r="T183" s="501" t="s">
        <v>2524</v>
      </c>
      <c r="U183" s="501" t="s">
        <v>2557</v>
      </c>
      <c r="W183" s="431" t="s">
        <v>2203</v>
      </c>
      <c r="X183" s="431" t="s">
        <v>3328</v>
      </c>
      <c r="Z183" s="431"/>
      <c r="AA183" s="26"/>
      <c r="AB183" s="26"/>
      <c r="AC183" s="931"/>
      <c r="AD183" s="512"/>
    </row>
    <row r="184" spans="2:30" ht="10.5" customHeight="1">
      <c r="B184" s="283"/>
      <c r="C184" s="379" t="s">
        <v>2497</v>
      </c>
      <c r="D184" s="444">
        <v>43800</v>
      </c>
      <c r="E184" s="283"/>
      <c r="F184" s="283" t="s">
        <v>1327</v>
      </c>
      <c r="G184" s="1009" t="s">
        <v>160</v>
      </c>
      <c r="H184" s="1009" t="s">
        <v>1296</v>
      </c>
      <c r="I184" s="1010" t="s">
        <v>161</v>
      </c>
      <c r="J184" s="1010" t="s">
        <v>2578</v>
      </c>
      <c r="K184" s="1011" t="s">
        <v>1662</v>
      </c>
      <c r="L184" s="1012" t="s">
        <v>419</v>
      </c>
      <c r="M184" s="1097" t="s">
        <v>2565</v>
      </c>
      <c r="N184" s="1097" t="s">
        <v>1503</v>
      </c>
      <c r="O184" s="1287" t="s">
        <v>4108</v>
      </c>
      <c r="P184" s="554" t="s">
        <v>2525</v>
      </c>
      <c r="Q184" s="292"/>
      <c r="R184" s="170"/>
      <c r="S184" s="389"/>
      <c r="T184" s="501" t="s">
        <v>2526</v>
      </c>
      <c r="U184" s="501" t="s">
        <v>1891</v>
      </c>
      <c r="W184" s="431" t="s">
        <v>2302</v>
      </c>
      <c r="X184" s="431" t="s">
        <v>3328</v>
      </c>
      <c r="Z184" s="431"/>
      <c r="AA184" s="26"/>
      <c r="AB184" s="26"/>
      <c r="AC184" s="931"/>
      <c r="AD184" s="512"/>
    </row>
    <row r="185" spans="2:30" ht="10.5" customHeight="1">
      <c r="B185" s="283"/>
      <c r="C185" s="379" t="s">
        <v>191</v>
      </c>
      <c r="D185" s="444">
        <v>43200</v>
      </c>
      <c r="E185" s="283"/>
      <c r="F185" s="283" t="s">
        <v>1334</v>
      </c>
      <c r="G185" s="1009" t="s">
        <v>162</v>
      </c>
      <c r="H185" s="1009" t="s">
        <v>1296</v>
      </c>
      <c r="I185" s="1013" t="s">
        <v>753</v>
      </c>
      <c r="J185" s="1013" t="s">
        <v>2579</v>
      </c>
      <c r="K185" s="1011" t="s">
        <v>2543</v>
      </c>
      <c r="L185" s="1012" t="s">
        <v>420</v>
      </c>
      <c r="M185" s="1097" t="s">
        <v>1181</v>
      </c>
      <c r="N185" s="1097" t="s">
        <v>1190</v>
      </c>
      <c r="O185" s="1287" t="s">
        <v>4109</v>
      </c>
      <c r="P185" s="554" t="s">
        <v>413</v>
      </c>
      <c r="Q185" s="292"/>
      <c r="R185" s="170"/>
      <c r="S185" s="389"/>
      <c r="T185" s="501" t="s">
        <v>164</v>
      </c>
      <c r="U185" s="501" t="s">
        <v>163</v>
      </c>
      <c r="W185" s="431" t="s">
        <v>302</v>
      </c>
      <c r="X185" s="431" t="s">
        <v>3328</v>
      </c>
      <c r="Z185" s="431"/>
      <c r="AA185" s="26"/>
      <c r="AB185" s="26"/>
      <c r="AC185" s="931"/>
      <c r="AD185" s="512"/>
    </row>
    <row r="186" spans="2:30" ht="10.5" customHeight="1">
      <c r="B186" s="283"/>
      <c r="C186" s="379" t="s">
        <v>332</v>
      </c>
      <c r="D186" s="444">
        <v>55000</v>
      </c>
      <c r="E186" s="283"/>
      <c r="F186" s="283" t="s">
        <v>1335</v>
      </c>
      <c r="G186" s="1009" t="s">
        <v>163</v>
      </c>
      <c r="H186" s="1009" t="s">
        <v>1296</v>
      </c>
      <c r="I186" s="1010" t="s">
        <v>2017</v>
      </c>
      <c r="J186" s="1010" t="s">
        <v>2579</v>
      </c>
      <c r="K186" s="1011" t="s">
        <v>609</v>
      </c>
      <c r="L186" s="1012" t="s">
        <v>420</v>
      </c>
      <c r="M186" s="1098" t="s">
        <v>1181</v>
      </c>
      <c r="N186" s="1098" t="s">
        <v>164</v>
      </c>
      <c r="O186" s="1287" t="s">
        <v>4110</v>
      </c>
      <c r="P186" s="554" t="s">
        <v>414</v>
      </c>
      <c r="Q186" s="292"/>
      <c r="R186" s="283"/>
      <c r="S186" s="389"/>
      <c r="T186" s="501" t="s">
        <v>1190</v>
      </c>
      <c r="U186" s="501" t="s">
        <v>1191</v>
      </c>
      <c r="W186" s="431" t="s">
        <v>9</v>
      </c>
      <c r="X186" s="431" t="s">
        <v>3328</v>
      </c>
      <c r="Z186" s="431"/>
      <c r="AA186" s="26"/>
      <c r="AB186" s="26"/>
      <c r="AC186" s="931"/>
      <c r="AD186" s="512"/>
    </row>
    <row r="187" spans="2:30" ht="10.5" customHeight="1">
      <c r="B187" s="283"/>
      <c r="C187" s="378" t="s">
        <v>195</v>
      </c>
      <c r="D187" s="444">
        <v>44000</v>
      </c>
      <c r="E187" s="283"/>
      <c r="F187" s="283" t="s">
        <v>1328</v>
      </c>
      <c r="G187" s="1009" t="s">
        <v>2449</v>
      </c>
      <c r="H187" s="1009" t="s">
        <v>1196</v>
      </c>
      <c r="I187" s="1010" t="s">
        <v>2450</v>
      </c>
      <c r="J187" s="1010" t="s">
        <v>2578</v>
      </c>
      <c r="K187" s="1011" t="s">
        <v>610</v>
      </c>
      <c r="L187" s="1012" t="s">
        <v>419</v>
      </c>
      <c r="M187" s="1098" t="s">
        <v>2565</v>
      </c>
      <c r="N187" s="1098" t="s">
        <v>1760</v>
      </c>
      <c r="O187" s="1287" t="s">
        <v>4111</v>
      </c>
      <c r="P187" s="554" t="s">
        <v>766</v>
      </c>
      <c r="Q187" s="520"/>
      <c r="R187" s="170"/>
      <c r="S187" s="389"/>
      <c r="T187" s="501" t="s">
        <v>767</v>
      </c>
      <c r="U187" s="501" t="s">
        <v>194</v>
      </c>
      <c r="W187" s="431" t="s">
        <v>11</v>
      </c>
      <c r="X187" s="431" t="s">
        <v>3328</v>
      </c>
      <c r="Z187" s="431"/>
      <c r="AA187" s="26"/>
      <c r="AB187" s="26"/>
      <c r="AC187" s="931"/>
      <c r="AD187" s="512"/>
    </row>
    <row r="188" spans="2:30" ht="10.5" customHeight="1">
      <c r="B188" s="283"/>
      <c r="C188" s="378" t="s">
        <v>939</v>
      </c>
      <c r="D188" s="444">
        <v>46300</v>
      </c>
      <c r="E188" s="283"/>
      <c r="F188" s="283" t="s">
        <v>1330</v>
      </c>
      <c r="G188" s="1009" t="s">
        <v>2451</v>
      </c>
      <c r="H188" s="1009" t="s">
        <v>1774</v>
      </c>
      <c r="I188" s="1013" t="s">
        <v>753</v>
      </c>
      <c r="J188" s="1013" t="s">
        <v>2579</v>
      </c>
      <c r="K188" s="1011" t="s">
        <v>2543</v>
      </c>
      <c r="L188" s="1012" t="s">
        <v>420</v>
      </c>
      <c r="M188" s="1097" t="s">
        <v>1181</v>
      </c>
      <c r="N188" s="1097" t="s">
        <v>1190</v>
      </c>
      <c r="O188" s="1287" t="s">
        <v>4112</v>
      </c>
      <c r="P188" s="554" t="s">
        <v>768</v>
      </c>
      <c r="Q188" s="520"/>
      <c r="R188" s="170"/>
      <c r="S188" s="389"/>
      <c r="T188" s="501" t="s">
        <v>2045</v>
      </c>
      <c r="U188" s="501" t="s">
        <v>1298</v>
      </c>
      <c r="W188" s="431" t="s">
        <v>57</v>
      </c>
      <c r="X188" s="431" t="s">
        <v>3328</v>
      </c>
      <c r="Z188" s="431"/>
      <c r="AA188" s="26"/>
      <c r="AB188" s="26"/>
      <c r="AC188" s="931"/>
      <c r="AD188" s="512"/>
    </row>
    <row r="189" spans="2:30" ht="10.5" customHeight="1">
      <c r="B189" s="283"/>
      <c r="C189" s="379" t="s">
        <v>941</v>
      </c>
      <c r="D189" s="444">
        <v>38800</v>
      </c>
      <c r="E189" s="283"/>
      <c r="F189" s="283" t="s">
        <v>1331</v>
      </c>
      <c r="G189" s="1009" t="s">
        <v>2452</v>
      </c>
      <c r="H189" s="1009" t="s">
        <v>1196</v>
      </c>
      <c r="I189" s="1010" t="s">
        <v>2453</v>
      </c>
      <c r="J189" s="1010" t="s">
        <v>2578</v>
      </c>
      <c r="K189" s="1011" t="s">
        <v>611</v>
      </c>
      <c r="L189" s="1012" t="s">
        <v>419</v>
      </c>
      <c r="M189" s="1098" t="s">
        <v>2565</v>
      </c>
      <c r="N189" s="1098" t="s">
        <v>1675</v>
      </c>
      <c r="O189" s="1287" t="s">
        <v>4113</v>
      </c>
      <c r="P189" s="554" t="s">
        <v>2046</v>
      </c>
      <c r="Q189" s="520"/>
      <c r="R189" s="170"/>
      <c r="S189" s="389"/>
      <c r="T189" s="501" t="s">
        <v>1315</v>
      </c>
      <c r="U189" s="501" t="s">
        <v>1096</v>
      </c>
      <c r="W189" s="431" t="s">
        <v>59</v>
      </c>
      <c r="X189" s="431" t="s">
        <v>3328</v>
      </c>
      <c r="Z189" s="431"/>
      <c r="AA189" s="26"/>
      <c r="AB189" s="26"/>
      <c r="AC189" s="931"/>
      <c r="AD189" s="512"/>
    </row>
    <row r="190" spans="2:30" ht="10.5" customHeight="1">
      <c r="B190" s="283"/>
      <c r="C190" s="378" t="s">
        <v>862</v>
      </c>
      <c r="D190" s="444">
        <v>42400</v>
      </c>
      <c r="E190" s="283"/>
      <c r="F190" s="283" t="s">
        <v>1332</v>
      </c>
      <c r="G190" s="1009" t="s">
        <v>2454</v>
      </c>
      <c r="H190" s="1009" t="s">
        <v>1774</v>
      </c>
      <c r="I190" s="1013" t="s">
        <v>753</v>
      </c>
      <c r="J190" s="1013" t="s">
        <v>2579</v>
      </c>
      <c r="K190" s="1011" t="s">
        <v>2543</v>
      </c>
      <c r="L190" s="1012" t="s">
        <v>420</v>
      </c>
      <c r="M190" s="1097" t="s">
        <v>1181</v>
      </c>
      <c r="N190" s="1097" t="s">
        <v>1190</v>
      </c>
      <c r="O190" s="1287" t="s">
        <v>4114</v>
      </c>
      <c r="P190" s="554" t="s">
        <v>2047</v>
      </c>
      <c r="Q190" s="520"/>
      <c r="R190" s="170"/>
      <c r="S190" s="389"/>
      <c r="T190" s="501" t="s">
        <v>2048</v>
      </c>
      <c r="U190" s="501" t="s">
        <v>2454</v>
      </c>
      <c r="W190" s="431" t="s">
        <v>349</v>
      </c>
      <c r="X190" s="431" t="s">
        <v>3328</v>
      </c>
      <c r="Z190" s="431"/>
      <c r="AA190" s="26"/>
      <c r="AB190" s="26"/>
      <c r="AC190" s="931"/>
      <c r="AD190" s="512"/>
    </row>
    <row r="191" spans="2:30" ht="10.5" customHeight="1">
      <c r="B191" s="283"/>
      <c r="C191" s="379" t="s">
        <v>866</v>
      </c>
      <c r="D191" s="444">
        <v>43800</v>
      </c>
      <c r="E191" s="283"/>
      <c r="F191" s="283" t="s">
        <v>1329</v>
      </c>
      <c r="G191" s="1009" t="s">
        <v>2455</v>
      </c>
      <c r="H191" s="1009" t="s">
        <v>1196</v>
      </c>
      <c r="I191" s="1010" t="s">
        <v>2456</v>
      </c>
      <c r="J191" s="1010" t="s">
        <v>2578</v>
      </c>
      <c r="K191" s="1011" t="s">
        <v>612</v>
      </c>
      <c r="L191" s="1012" t="s">
        <v>419</v>
      </c>
      <c r="M191" s="1098" t="s">
        <v>2565</v>
      </c>
      <c r="N191" s="1098" t="s">
        <v>1675</v>
      </c>
      <c r="O191" s="1287" t="s">
        <v>4115</v>
      </c>
      <c r="P191" s="554" t="s">
        <v>2049</v>
      </c>
      <c r="Q191" s="520"/>
      <c r="R191" s="170"/>
      <c r="S191" s="389"/>
      <c r="T191" s="501" t="s">
        <v>1973</v>
      </c>
      <c r="U191" s="501" t="s">
        <v>2146</v>
      </c>
      <c r="W191" s="431" t="s">
        <v>353</v>
      </c>
      <c r="X191" s="431" t="s">
        <v>3328</v>
      </c>
      <c r="Z191" s="431"/>
      <c r="AA191" s="26"/>
      <c r="AB191" s="26"/>
      <c r="AC191" s="931"/>
      <c r="AD191" s="512"/>
    </row>
    <row r="192" spans="2:30" ht="10.5" customHeight="1">
      <c r="B192" s="283"/>
      <c r="C192" s="379" t="s">
        <v>2215</v>
      </c>
      <c r="D192" s="444">
        <v>41900</v>
      </c>
      <c r="E192" s="283"/>
      <c r="F192" s="283" t="s">
        <v>1333</v>
      </c>
      <c r="G192" s="1009" t="s">
        <v>2457</v>
      </c>
      <c r="H192" s="1009" t="s">
        <v>1196</v>
      </c>
      <c r="I192" s="1010" t="s">
        <v>2494</v>
      </c>
      <c r="J192" s="1010" t="s">
        <v>2578</v>
      </c>
      <c r="K192" s="1011" t="s">
        <v>613</v>
      </c>
      <c r="L192" s="1012" t="s">
        <v>419</v>
      </c>
      <c r="M192" s="1098" t="s">
        <v>2565</v>
      </c>
      <c r="N192" s="1098" t="s">
        <v>1760</v>
      </c>
      <c r="O192" s="1287" t="s">
        <v>4116</v>
      </c>
      <c r="P192" s="554" t="s">
        <v>2080</v>
      </c>
      <c r="Q192" s="520"/>
      <c r="R192" s="170"/>
      <c r="S192" s="389"/>
      <c r="T192" s="501" t="s">
        <v>2050</v>
      </c>
      <c r="U192" s="501" t="s">
        <v>325</v>
      </c>
      <c r="W192" s="431" t="s">
        <v>2261</v>
      </c>
      <c r="X192" s="431" t="s">
        <v>3328</v>
      </c>
      <c r="Z192" s="431"/>
      <c r="AA192" s="26"/>
      <c r="AB192" s="26"/>
      <c r="AC192" s="931"/>
      <c r="AD192" s="512"/>
    </row>
    <row r="193" spans="2:30" ht="10.5" customHeight="1">
      <c r="B193" s="283"/>
      <c r="C193" s="379" t="s">
        <v>643</v>
      </c>
      <c r="D193" s="444">
        <v>44700</v>
      </c>
      <c r="E193" s="283"/>
      <c r="F193" s="283" t="s">
        <v>1336</v>
      </c>
      <c r="G193" s="1009" t="s">
        <v>2495</v>
      </c>
      <c r="H193" s="1009" t="s">
        <v>1296</v>
      </c>
      <c r="I193" s="1013" t="s">
        <v>754</v>
      </c>
      <c r="J193" s="1013" t="s">
        <v>2579</v>
      </c>
      <c r="K193" s="1011" t="s">
        <v>2564</v>
      </c>
      <c r="L193" s="1012" t="s">
        <v>420</v>
      </c>
      <c r="M193" s="1097" t="s">
        <v>2565</v>
      </c>
      <c r="N193" s="1097" t="s">
        <v>1315</v>
      </c>
      <c r="O193" s="1287" t="s">
        <v>4117</v>
      </c>
      <c r="P193" s="554" t="s">
        <v>2082</v>
      </c>
      <c r="Q193" s="520"/>
      <c r="R193" s="170"/>
      <c r="S193" s="389"/>
      <c r="T193" s="501" t="s">
        <v>2081</v>
      </c>
      <c r="U193" s="501" t="s">
        <v>617</v>
      </c>
      <c r="W193" s="431" t="s">
        <v>1317</v>
      </c>
      <c r="X193" s="431" t="s">
        <v>3328</v>
      </c>
      <c r="Z193" s="431"/>
      <c r="AA193" s="26"/>
      <c r="AB193" s="26"/>
      <c r="AC193" s="931"/>
      <c r="AD193" s="512"/>
    </row>
    <row r="194" spans="2:30" ht="10.5" customHeight="1">
      <c r="B194" s="283"/>
      <c r="C194" s="379" t="s">
        <v>645</v>
      </c>
      <c r="D194" s="444">
        <v>48400</v>
      </c>
      <c r="E194" s="283"/>
      <c r="F194" s="283" t="s">
        <v>1337</v>
      </c>
      <c r="G194" s="1009" t="s">
        <v>2496</v>
      </c>
      <c r="H194" s="1009" t="s">
        <v>1196</v>
      </c>
      <c r="I194" s="1010" t="s">
        <v>2497</v>
      </c>
      <c r="J194" s="1010" t="s">
        <v>2578</v>
      </c>
      <c r="K194" s="1011" t="s">
        <v>614</v>
      </c>
      <c r="L194" s="1012" t="s">
        <v>419</v>
      </c>
      <c r="M194" s="1098" t="s">
        <v>2565</v>
      </c>
      <c r="N194" s="1098" t="s">
        <v>1675</v>
      </c>
      <c r="O194" s="1287" t="s">
        <v>4118</v>
      </c>
      <c r="P194" s="554" t="s">
        <v>2084</v>
      </c>
      <c r="Q194" s="520"/>
      <c r="R194" s="170"/>
      <c r="S194" s="389"/>
      <c r="T194" s="501" t="s">
        <v>2083</v>
      </c>
      <c r="U194" s="501" t="s">
        <v>1614</v>
      </c>
      <c r="W194" s="431" t="s">
        <v>1541</v>
      </c>
      <c r="X194" s="431" t="s">
        <v>3328</v>
      </c>
      <c r="Z194" s="431"/>
      <c r="AA194" s="26"/>
      <c r="AB194" s="26"/>
      <c r="AC194" s="931"/>
      <c r="AD194" s="512"/>
    </row>
    <row r="195" spans="2:30" ht="10.5" customHeight="1">
      <c r="B195" s="283"/>
      <c r="C195" s="379" t="s">
        <v>650</v>
      </c>
      <c r="D195" s="444">
        <v>44700</v>
      </c>
      <c r="E195" s="283"/>
      <c r="F195" s="283" t="s">
        <v>1338</v>
      </c>
      <c r="G195" s="1009" t="s">
        <v>2498</v>
      </c>
      <c r="H195" s="1009" t="s">
        <v>1196</v>
      </c>
      <c r="I195" s="1013" t="s">
        <v>753</v>
      </c>
      <c r="J195" s="1013" t="s">
        <v>2579</v>
      </c>
      <c r="K195" s="1011" t="s">
        <v>2543</v>
      </c>
      <c r="L195" s="1012" t="s">
        <v>420</v>
      </c>
      <c r="M195" s="1097" t="s">
        <v>1181</v>
      </c>
      <c r="N195" s="1097" t="s">
        <v>1190</v>
      </c>
      <c r="O195" s="1287" t="s">
        <v>4119</v>
      </c>
      <c r="P195" s="554" t="s">
        <v>2086</v>
      </c>
      <c r="Q195" s="520"/>
      <c r="R195" s="170"/>
      <c r="S195" s="389"/>
      <c r="T195" s="501" t="s">
        <v>2085</v>
      </c>
      <c r="U195" s="501" t="s">
        <v>194</v>
      </c>
      <c r="W195" s="431" t="s">
        <v>1545</v>
      </c>
      <c r="X195" s="431" t="s">
        <v>3328</v>
      </c>
      <c r="Z195" s="431"/>
      <c r="AA195" s="26"/>
      <c r="AB195" s="26"/>
      <c r="AC195" s="931"/>
      <c r="AD195" s="512"/>
    </row>
    <row r="196" spans="2:30" ht="10.5" customHeight="1">
      <c r="B196" s="283"/>
      <c r="C196" s="379" t="s">
        <v>1206</v>
      </c>
      <c r="D196" s="444">
        <v>64200</v>
      </c>
      <c r="E196" s="283"/>
      <c r="F196" s="283" t="s">
        <v>1339</v>
      </c>
      <c r="G196" s="1009" t="s">
        <v>2499</v>
      </c>
      <c r="H196" s="1009" t="s">
        <v>1296</v>
      </c>
      <c r="I196" s="1013" t="s">
        <v>1305</v>
      </c>
      <c r="J196" s="1013" t="s">
        <v>2579</v>
      </c>
      <c r="K196" s="1011" t="s">
        <v>2546</v>
      </c>
      <c r="L196" s="1012" t="s">
        <v>420</v>
      </c>
      <c r="M196" s="1097" t="s">
        <v>2565</v>
      </c>
      <c r="N196" s="1097" t="s">
        <v>1305</v>
      </c>
      <c r="O196" s="1287" t="s">
        <v>4120</v>
      </c>
      <c r="P196" s="554" t="s">
        <v>2506</v>
      </c>
      <c r="Q196" s="520"/>
      <c r="R196" s="170"/>
      <c r="S196" s="389"/>
      <c r="T196" s="501" t="s">
        <v>1761</v>
      </c>
      <c r="U196" s="501" t="s">
        <v>120</v>
      </c>
      <c r="W196" s="431" t="s">
        <v>1724</v>
      </c>
      <c r="X196" s="431" t="s">
        <v>3328</v>
      </c>
      <c r="Z196" s="431"/>
      <c r="AA196" s="26"/>
      <c r="AB196" s="26"/>
      <c r="AC196" s="931"/>
      <c r="AD196" s="512"/>
    </row>
    <row r="197" spans="2:30" ht="10.5" customHeight="1">
      <c r="B197" s="283"/>
      <c r="C197" s="379" t="s">
        <v>652</v>
      </c>
      <c r="D197" s="444">
        <v>51500</v>
      </c>
      <c r="E197" s="283"/>
      <c r="F197" s="283" t="s">
        <v>1340</v>
      </c>
      <c r="G197" s="1009" t="s">
        <v>2500</v>
      </c>
      <c r="H197" s="1009" t="s">
        <v>1196</v>
      </c>
      <c r="I197" s="1010" t="s">
        <v>191</v>
      </c>
      <c r="J197" s="1010" t="s">
        <v>2578</v>
      </c>
      <c r="K197" s="1011" t="s">
        <v>615</v>
      </c>
      <c r="L197" s="1012" t="s">
        <v>419</v>
      </c>
      <c r="M197" s="1098" t="s">
        <v>2565</v>
      </c>
      <c r="N197" s="1098" t="s">
        <v>1760</v>
      </c>
      <c r="O197" s="1287" t="s">
        <v>4121</v>
      </c>
      <c r="P197" s="554" t="s">
        <v>993</v>
      </c>
      <c r="Q197" s="520"/>
      <c r="R197" s="170"/>
      <c r="S197" s="389"/>
      <c r="T197" s="501" t="s">
        <v>2507</v>
      </c>
      <c r="U197" s="501" t="s">
        <v>162</v>
      </c>
      <c r="W197" s="431" t="s">
        <v>1009</v>
      </c>
      <c r="X197" s="431" t="s">
        <v>3328</v>
      </c>
      <c r="Z197" s="431"/>
      <c r="AA197" s="26"/>
      <c r="AB197" s="26"/>
      <c r="AC197" s="931"/>
      <c r="AD197" s="512"/>
    </row>
    <row r="198" spans="2:30" ht="10.5" customHeight="1">
      <c r="B198" s="283"/>
      <c r="C198" s="379" t="s">
        <v>654</v>
      </c>
      <c r="D198" s="444">
        <v>52100</v>
      </c>
      <c r="E198" s="283"/>
      <c r="F198" s="283" t="s">
        <v>1341</v>
      </c>
      <c r="G198" s="1009" t="s">
        <v>192</v>
      </c>
      <c r="H198" s="1009" t="s">
        <v>1296</v>
      </c>
      <c r="I198" s="1013" t="s">
        <v>1503</v>
      </c>
      <c r="J198" s="1013" t="s">
        <v>2579</v>
      </c>
      <c r="K198" s="1011" t="s">
        <v>1659</v>
      </c>
      <c r="L198" s="1012" t="s">
        <v>420</v>
      </c>
      <c r="M198" s="1097" t="s">
        <v>2565</v>
      </c>
      <c r="N198" s="1097" t="s">
        <v>1503</v>
      </c>
      <c r="O198" s="1287" t="s">
        <v>4122</v>
      </c>
      <c r="P198" s="554" t="s">
        <v>1976</v>
      </c>
      <c r="Q198" s="520"/>
      <c r="R198" s="170"/>
      <c r="S198" s="389"/>
      <c r="T198" s="501" t="s">
        <v>994</v>
      </c>
      <c r="U198" s="501" t="s">
        <v>425</v>
      </c>
      <c r="W198" s="431" t="s">
        <v>1012</v>
      </c>
      <c r="X198" s="431" t="s">
        <v>3328</v>
      </c>
      <c r="Z198" s="431"/>
      <c r="AA198" s="26"/>
      <c r="AB198" s="26"/>
      <c r="AC198" s="931"/>
      <c r="AD198" s="512"/>
    </row>
    <row r="199" spans="2:30" ht="10.5" customHeight="1">
      <c r="B199" s="283"/>
      <c r="C199" s="379" t="s">
        <v>657</v>
      </c>
      <c r="D199" s="444">
        <v>48600</v>
      </c>
      <c r="E199" s="283"/>
      <c r="F199" s="283" t="s">
        <v>1342</v>
      </c>
      <c r="G199" s="1009" t="s">
        <v>193</v>
      </c>
      <c r="H199" s="1009" t="s">
        <v>1296</v>
      </c>
      <c r="I199" s="1013" t="s">
        <v>753</v>
      </c>
      <c r="J199" s="1013" t="s">
        <v>2579</v>
      </c>
      <c r="K199" s="1011" t="s">
        <v>2543</v>
      </c>
      <c r="L199" s="1012" t="s">
        <v>420</v>
      </c>
      <c r="M199" s="1097" t="s">
        <v>1181</v>
      </c>
      <c r="N199" s="1097" t="s">
        <v>1190</v>
      </c>
      <c r="O199" s="1287" t="s">
        <v>4123</v>
      </c>
      <c r="P199" s="554" t="s">
        <v>13</v>
      </c>
      <c r="Q199" s="520"/>
      <c r="R199" s="170"/>
      <c r="S199" s="389"/>
      <c r="T199" s="501" t="s">
        <v>1299</v>
      </c>
      <c r="U199" s="501" t="s">
        <v>325</v>
      </c>
      <c r="W199" s="431" t="s">
        <v>1736</v>
      </c>
      <c r="X199" s="431" t="s">
        <v>3328</v>
      </c>
      <c r="Z199" s="431"/>
      <c r="AA199" s="26"/>
      <c r="AB199" s="26"/>
      <c r="AC199" s="931"/>
      <c r="AD199" s="512"/>
    </row>
    <row r="200" spans="2:30" ht="10.5" customHeight="1">
      <c r="B200" s="283"/>
      <c r="C200" s="379" t="s">
        <v>659</v>
      </c>
      <c r="D200" s="444">
        <v>41100</v>
      </c>
      <c r="E200" s="283"/>
      <c r="F200" s="283" t="s">
        <v>1343</v>
      </c>
      <c r="G200" s="1009" t="s">
        <v>194</v>
      </c>
      <c r="H200" s="1009" t="s">
        <v>1196</v>
      </c>
      <c r="I200" s="1010" t="s">
        <v>195</v>
      </c>
      <c r="J200" s="1010" t="s">
        <v>2578</v>
      </c>
      <c r="K200" s="1011" t="s">
        <v>616</v>
      </c>
      <c r="L200" s="1012" t="s">
        <v>419</v>
      </c>
      <c r="M200" s="1098" t="s">
        <v>2565</v>
      </c>
      <c r="N200" s="1098" t="s">
        <v>1760</v>
      </c>
      <c r="O200" s="1287" t="s">
        <v>4124</v>
      </c>
      <c r="P200" s="554" t="s">
        <v>2207</v>
      </c>
      <c r="Q200" s="520"/>
      <c r="R200" s="170"/>
      <c r="S200" s="389"/>
      <c r="T200" s="501" t="s">
        <v>14</v>
      </c>
      <c r="U200" s="501" t="s">
        <v>1647</v>
      </c>
      <c r="W200" s="431" t="s">
        <v>2038</v>
      </c>
      <c r="X200" s="431" t="s">
        <v>3328</v>
      </c>
      <c r="Z200" s="431"/>
      <c r="AA200" s="26"/>
      <c r="AB200" s="26"/>
      <c r="AC200" s="931"/>
      <c r="AD200" s="512"/>
    </row>
    <row r="201" spans="2:30" ht="10.5" customHeight="1">
      <c r="B201" s="283"/>
      <c r="C201" s="379" t="s">
        <v>661</v>
      </c>
      <c r="D201" s="444">
        <v>55300</v>
      </c>
      <c r="E201" s="283"/>
      <c r="F201" s="283" t="s">
        <v>1344</v>
      </c>
      <c r="G201" s="1009" t="s">
        <v>196</v>
      </c>
      <c r="H201" s="1009" t="s">
        <v>1774</v>
      </c>
      <c r="I201" s="1013" t="s">
        <v>753</v>
      </c>
      <c r="J201" s="1013" t="s">
        <v>2579</v>
      </c>
      <c r="K201" s="1011" t="s">
        <v>2543</v>
      </c>
      <c r="L201" s="1012" t="s">
        <v>420</v>
      </c>
      <c r="M201" s="1097" t="s">
        <v>1181</v>
      </c>
      <c r="N201" s="1097" t="s">
        <v>1190</v>
      </c>
      <c r="O201" s="1287" t="s">
        <v>4125</v>
      </c>
      <c r="P201" s="554" t="s">
        <v>2209</v>
      </c>
      <c r="Q201" s="520"/>
      <c r="R201" s="170"/>
      <c r="S201" s="389"/>
      <c r="T201" s="501" t="s">
        <v>2208</v>
      </c>
      <c r="U201" s="501" t="s">
        <v>1195</v>
      </c>
      <c r="W201" s="431" t="s">
        <v>2040</v>
      </c>
      <c r="X201" s="431" t="s">
        <v>3328</v>
      </c>
      <c r="Z201" s="431"/>
      <c r="AA201" s="26"/>
      <c r="AB201" s="26"/>
      <c r="AC201" s="931"/>
      <c r="AD201" s="512"/>
    </row>
    <row r="202" spans="2:30" ht="10.5" customHeight="1">
      <c r="B202" s="283"/>
      <c r="C202" s="379" t="s">
        <v>121</v>
      </c>
      <c r="D202" s="444">
        <v>52100</v>
      </c>
      <c r="E202" s="283"/>
      <c r="F202" s="283" t="s">
        <v>1345</v>
      </c>
      <c r="G202" s="1009" t="s">
        <v>197</v>
      </c>
      <c r="H202" s="1009" t="s">
        <v>1196</v>
      </c>
      <c r="I202" s="1010" t="s">
        <v>939</v>
      </c>
      <c r="J202" s="1010" t="s">
        <v>2578</v>
      </c>
      <c r="K202" s="1011" t="s">
        <v>1932</v>
      </c>
      <c r="L202" s="1012" t="s">
        <v>419</v>
      </c>
      <c r="M202" s="1098" t="s">
        <v>2565</v>
      </c>
      <c r="N202" s="1098" t="s">
        <v>1305</v>
      </c>
      <c r="O202" s="1287" t="s">
        <v>4126</v>
      </c>
      <c r="P202" s="554" t="s">
        <v>2211</v>
      </c>
      <c r="Q202" s="520"/>
      <c r="R202" s="170"/>
      <c r="S202" s="389"/>
      <c r="T202" s="555" t="s">
        <v>2210</v>
      </c>
      <c r="U202" s="555" t="s">
        <v>2216</v>
      </c>
      <c r="W202" s="431" t="s">
        <v>665</v>
      </c>
      <c r="X202" s="431" t="s">
        <v>3328</v>
      </c>
      <c r="Z202" s="431"/>
      <c r="AA202" s="26"/>
      <c r="AB202" s="26"/>
      <c r="AC202" s="932"/>
      <c r="AD202" s="512"/>
    </row>
    <row r="203" spans="2:30" ht="10.5" customHeight="1">
      <c r="B203" s="283"/>
      <c r="C203" s="379" t="s">
        <v>310</v>
      </c>
      <c r="D203" s="444">
        <v>33600</v>
      </c>
      <c r="E203" s="283"/>
      <c r="F203" s="283" t="s">
        <v>1347</v>
      </c>
      <c r="G203" s="1009" t="s">
        <v>940</v>
      </c>
      <c r="H203" s="1009" t="s">
        <v>1196</v>
      </c>
      <c r="I203" s="1010" t="s">
        <v>941</v>
      </c>
      <c r="J203" s="1010" t="s">
        <v>2578</v>
      </c>
      <c r="K203" s="1011" t="s">
        <v>1933</v>
      </c>
      <c r="L203" s="1012" t="s">
        <v>419</v>
      </c>
      <c r="M203" s="1098" t="s">
        <v>2565</v>
      </c>
      <c r="N203" s="1098" t="s">
        <v>1760</v>
      </c>
      <c r="O203" s="1287" t="s">
        <v>4127</v>
      </c>
      <c r="P203" s="554" t="s">
        <v>2240</v>
      </c>
      <c r="Q203" s="520"/>
      <c r="R203" s="170"/>
      <c r="S203" s="389"/>
      <c r="T203" s="501" t="s">
        <v>2528</v>
      </c>
      <c r="U203" s="501" t="s">
        <v>617</v>
      </c>
      <c r="W203" s="431" t="s">
        <v>1232</v>
      </c>
      <c r="X203" s="431" t="s">
        <v>3328</v>
      </c>
      <c r="Z203" s="431"/>
      <c r="AA203" s="26"/>
      <c r="AB203" s="26"/>
      <c r="AC203" s="931"/>
      <c r="AD203" s="512"/>
    </row>
    <row r="204" spans="2:30" ht="10.5" customHeight="1">
      <c r="B204" s="283"/>
      <c r="C204" s="379" t="s">
        <v>755</v>
      </c>
      <c r="D204" s="444">
        <v>56500</v>
      </c>
      <c r="E204" s="283"/>
      <c r="F204" s="283" t="s">
        <v>1346</v>
      </c>
      <c r="G204" s="1009" t="s">
        <v>942</v>
      </c>
      <c r="H204" s="1009" t="s">
        <v>1196</v>
      </c>
      <c r="I204" s="1013" t="s">
        <v>1760</v>
      </c>
      <c r="J204" s="1013" t="s">
        <v>2579</v>
      </c>
      <c r="K204" s="1011" t="s">
        <v>1148</v>
      </c>
      <c r="L204" s="1012" t="s">
        <v>420</v>
      </c>
      <c r="M204" s="1098" t="s">
        <v>1181</v>
      </c>
      <c r="N204" s="1098" t="s">
        <v>1760</v>
      </c>
      <c r="O204" s="1287" t="s">
        <v>4128</v>
      </c>
      <c r="P204" s="554" t="s">
        <v>1751</v>
      </c>
      <c r="Q204" s="520"/>
      <c r="R204" s="170"/>
      <c r="S204" s="389"/>
      <c r="T204" s="501" t="s">
        <v>2212</v>
      </c>
      <c r="U204" s="501" t="s">
        <v>119</v>
      </c>
      <c r="W204" s="431" t="s">
        <v>1234</v>
      </c>
      <c r="X204" s="431" t="s">
        <v>3328</v>
      </c>
      <c r="Z204" s="431"/>
      <c r="AA204" s="26"/>
      <c r="AB204" s="26"/>
      <c r="AC204" s="931"/>
      <c r="AD204" s="512"/>
    </row>
    <row r="205" spans="2:30" ht="10.5" customHeight="1">
      <c r="B205" s="283"/>
      <c r="C205" s="379" t="s">
        <v>314</v>
      </c>
      <c r="D205" s="444">
        <v>49200</v>
      </c>
      <c r="E205" s="283"/>
      <c r="F205" s="283" t="s">
        <v>1348</v>
      </c>
      <c r="G205" s="1009" t="s">
        <v>860</v>
      </c>
      <c r="H205" s="1009" t="s">
        <v>1296</v>
      </c>
      <c r="I205" s="1013" t="s">
        <v>753</v>
      </c>
      <c r="J205" s="1013" t="s">
        <v>2579</v>
      </c>
      <c r="K205" s="1011" t="s">
        <v>2543</v>
      </c>
      <c r="L205" s="1012" t="s">
        <v>420</v>
      </c>
      <c r="M205" s="1097" t="s">
        <v>1181</v>
      </c>
      <c r="N205" s="1097" t="s">
        <v>1190</v>
      </c>
      <c r="O205" s="1287" t="s">
        <v>4129</v>
      </c>
      <c r="P205" s="554" t="s">
        <v>1753</v>
      </c>
      <c r="Q205" s="520"/>
      <c r="R205" s="170"/>
      <c r="S205" s="389"/>
      <c r="T205" s="501" t="s">
        <v>1728</v>
      </c>
      <c r="U205" s="501" t="s">
        <v>2457</v>
      </c>
      <c r="W205" s="431" t="s">
        <v>2451</v>
      </c>
      <c r="X205" s="431" t="s">
        <v>3328</v>
      </c>
      <c r="Z205" s="431"/>
      <c r="AA205" s="26"/>
      <c r="AB205" s="26"/>
      <c r="AC205" s="931"/>
      <c r="AD205" s="512"/>
    </row>
    <row r="206" spans="2:30" ht="10.5" customHeight="1">
      <c r="B206" s="283"/>
      <c r="C206" s="379" t="s">
        <v>1025</v>
      </c>
      <c r="D206" s="444">
        <v>40500</v>
      </c>
      <c r="E206" s="283"/>
      <c r="F206" s="283" t="s">
        <v>1350</v>
      </c>
      <c r="G206" s="1009" t="s">
        <v>861</v>
      </c>
      <c r="H206" s="1009" t="s">
        <v>1196</v>
      </c>
      <c r="I206" s="1010" t="s">
        <v>862</v>
      </c>
      <c r="J206" s="1010" t="s">
        <v>2578</v>
      </c>
      <c r="K206" s="1011" t="s">
        <v>1934</v>
      </c>
      <c r="L206" s="1012" t="s">
        <v>419</v>
      </c>
      <c r="M206" s="1098" t="s">
        <v>2565</v>
      </c>
      <c r="N206" s="1098" t="s">
        <v>1760</v>
      </c>
      <c r="O206" s="1287" t="s">
        <v>4130</v>
      </c>
      <c r="P206" s="554" t="s">
        <v>2131</v>
      </c>
      <c r="Q206" s="520"/>
      <c r="R206" s="170"/>
      <c r="S206" s="389"/>
      <c r="T206" s="501" t="s">
        <v>1752</v>
      </c>
      <c r="U206" s="501" t="s">
        <v>1298</v>
      </c>
      <c r="W206" s="431" t="s">
        <v>2460</v>
      </c>
      <c r="X206" s="431" t="s">
        <v>3328</v>
      </c>
      <c r="Z206" s="431"/>
      <c r="AA206" s="26"/>
      <c r="AB206" s="26"/>
      <c r="AC206" s="931"/>
      <c r="AD206" s="512"/>
    </row>
    <row r="207" spans="2:30" ht="10.5" customHeight="1">
      <c r="B207" s="283"/>
      <c r="C207" s="379" t="s">
        <v>319</v>
      </c>
      <c r="D207" s="444">
        <v>48500</v>
      </c>
      <c r="E207" s="283"/>
      <c r="F207" s="283" t="s">
        <v>1349</v>
      </c>
      <c r="G207" s="1009" t="s">
        <v>863</v>
      </c>
      <c r="H207" s="1009" t="s">
        <v>1196</v>
      </c>
      <c r="I207" s="1010" t="s">
        <v>1675</v>
      </c>
      <c r="J207" s="1010" t="s">
        <v>2579</v>
      </c>
      <c r="K207" s="1011" t="s">
        <v>2549</v>
      </c>
      <c r="L207" s="1012" t="s">
        <v>420</v>
      </c>
      <c r="M207" s="1097" t="s">
        <v>2565</v>
      </c>
      <c r="N207" s="1097" t="s">
        <v>1675</v>
      </c>
      <c r="O207" s="1287" t="s">
        <v>4131</v>
      </c>
      <c r="P207" s="554" t="s">
        <v>2132</v>
      </c>
      <c r="Q207" s="520"/>
      <c r="R207" s="170"/>
      <c r="S207" s="389"/>
      <c r="T207" s="501" t="s">
        <v>1754</v>
      </c>
      <c r="U207" s="501" t="s">
        <v>1982</v>
      </c>
      <c r="W207" s="431" t="s">
        <v>85</v>
      </c>
      <c r="X207" s="431" t="s">
        <v>3328</v>
      </c>
      <c r="Z207" s="431"/>
      <c r="AA207" s="26"/>
      <c r="AB207" s="26"/>
      <c r="AC207" s="931"/>
      <c r="AD207" s="512"/>
    </row>
    <row r="208" spans="2:30" ht="10.5" customHeight="1">
      <c r="B208" s="283"/>
      <c r="C208" s="378" t="s">
        <v>321</v>
      </c>
      <c r="D208" s="444">
        <v>65600</v>
      </c>
      <c r="E208" s="283"/>
      <c r="F208" s="283" t="s">
        <v>1351</v>
      </c>
      <c r="G208" s="1009" t="s">
        <v>864</v>
      </c>
      <c r="H208" s="1009" t="s">
        <v>1196</v>
      </c>
      <c r="I208" s="1013" t="s">
        <v>1311</v>
      </c>
      <c r="J208" s="1013" t="s">
        <v>2579</v>
      </c>
      <c r="K208" s="1011" t="s">
        <v>1447</v>
      </c>
      <c r="L208" s="1012" t="s">
        <v>420</v>
      </c>
      <c r="M208" s="1097" t="s">
        <v>2565</v>
      </c>
      <c r="N208" s="1097" t="s">
        <v>1311</v>
      </c>
      <c r="O208" s="1287" t="s">
        <v>4132</v>
      </c>
      <c r="P208" s="554" t="s">
        <v>2412</v>
      </c>
      <c r="Q208" s="292"/>
      <c r="R208" s="170"/>
      <c r="S208" s="389"/>
      <c r="T208" s="501" t="s">
        <v>813</v>
      </c>
      <c r="U208" s="501" t="s">
        <v>2554</v>
      </c>
      <c r="W208" s="431" t="s">
        <v>1219</v>
      </c>
      <c r="X208" s="431" t="s">
        <v>3328</v>
      </c>
      <c r="Z208" s="431"/>
      <c r="AA208" s="26"/>
      <c r="AB208" s="26"/>
      <c r="AC208" s="931"/>
      <c r="AD208" s="931"/>
    </row>
    <row r="209" spans="2:30" ht="10.5" customHeight="1">
      <c r="B209" s="283"/>
      <c r="C209" s="379" t="s">
        <v>324</v>
      </c>
      <c r="D209" s="444">
        <v>43100</v>
      </c>
      <c r="E209" s="283"/>
      <c r="F209" s="556"/>
      <c r="G209" s="1009" t="s">
        <v>865</v>
      </c>
      <c r="H209" s="1009" t="s">
        <v>1296</v>
      </c>
      <c r="I209" s="1010" t="s">
        <v>866</v>
      </c>
      <c r="J209" s="1010" t="s">
        <v>2578</v>
      </c>
      <c r="K209" s="1011" t="s">
        <v>1320</v>
      </c>
      <c r="L209" s="1012" t="s">
        <v>419</v>
      </c>
      <c r="M209" s="1098" t="s">
        <v>2565</v>
      </c>
      <c r="N209" s="1098" t="s">
        <v>164</v>
      </c>
      <c r="O209" s="1287" t="s">
        <v>4133</v>
      </c>
      <c r="P209" s="554" t="s">
        <v>2414</v>
      </c>
      <c r="Q209" s="292"/>
      <c r="R209" s="170"/>
      <c r="S209" s="389"/>
      <c r="T209" s="501" t="s">
        <v>2133</v>
      </c>
      <c r="U209" s="501" t="s">
        <v>2556</v>
      </c>
      <c r="W209" s="431" t="s">
        <v>159</v>
      </c>
      <c r="X209" s="431" t="s">
        <v>3328</v>
      </c>
      <c r="Z209" s="431"/>
      <c r="AA209" s="26"/>
      <c r="AB209" s="26"/>
      <c r="AC209" s="931"/>
      <c r="AD209" s="512"/>
    </row>
    <row r="210" spans="2:30" ht="10.5" customHeight="1">
      <c r="B210" s="283"/>
      <c r="C210" s="378" t="s">
        <v>326</v>
      </c>
      <c r="D210" s="444">
        <v>38600</v>
      </c>
      <c r="E210" s="283"/>
      <c r="F210" s="556"/>
      <c r="G210" s="1009" t="s">
        <v>2214</v>
      </c>
      <c r="H210" s="1009" t="s">
        <v>1196</v>
      </c>
      <c r="I210" s="1010" t="s">
        <v>2215</v>
      </c>
      <c r="J210" s="1010" t="s">
        <v>2578</v>
      </c>
      <c r="K210" s="1011" t="s">
        <v>1321</v>
      </c>
      <c r="L210" s="1012" t="s">
        <v>419</v>
      </c>
      <c r="M210" s="1098" t="s">
        <v>2565</v>
      </c>
      <c r="N210" s="1098" t="s">
        <v>1315</v>
      </c>
      <c r="O210" s="1287" t="s">
        <v>4134</v>
      </c>
      <c r="P210" s="554" t="s">
        <v>2416</v>
      </c>
      <c r="Q210" s="292"/>
      <c r="R210" s="170"/>
      <c r="S210" s="389"/>
      <c r="T210" s="555" t="s">
        <v>2413</v>
      </c>
      <c r="U210" s="555" t="s">
        <v>1081</v>
      </c>
      <c r="W210" s="431" t="s">
        <v>882</v>
      </c>
      <c r="X210" s="431" t="s">
        <v>3328</v>
      </c>
      <c r="Z210" s="431"/>
      <c r="AA210" s="26"/>
      <c r="AB210" s="26"/>
      <c r="AC210" s="932"/>
      <c r="AD210" s="512"/>
    </row>
    <row r="211" spans="2:30" ht="10.5" customHeight="1">
      <c r="B211" s="283"/>
      <c r="C211" s="379" t="s">
        <v>328</v>
      </c>
      <c r="D211" s="444">
        <v>32700</v>
      </c>
      <c r="E211" s="283"/>
      <c r="F211" s="556"/>
      <c r="G211" s="1009" t="s">
        <v>2216</v>
      </c>
      <c r="H211" s="1009" t="s">
        <v>1196</v>
      </c>
      <c r="I211" s="1010" t="s">
        <v>643</v>
      </c>
      <c r="J211" s="1010" t="s">
        <v>2578</v>
      </c>
      <c r="K211" s="1011" t="s">
        <v>1322</v>
      </c>
      <c r="L211" s="1012" t="s">
        <v>419</v>
      </c>
      <c r="M211" s="1098" t="s">
        <v>2565</v>
      </c>
      <c r="N211" s="1098" t="s">
        <v>1311</v>
      </c>
      <c r="O211" s="1287" t="s">
        <v>4135</v>
      </c>
      <c r="P211" s="554" t="s">
        <v>2418</v>
      </c>
      <c r="Q211" s="292"/>
      <c r="R211" s="170"/>
      <c r="S211" s="389"/>
      <c r="T211" s="501" t="s">
        <v>2529</v>
      </c>
      <c r="U211" s="501" t="s">
        <v>316</v>
      </c>
      <c r="W211" s="431" t="s">
        <v>2113</v>
      </c>
      <c r="X211" s="431" t="s">
        <v>3328</v>
      </c>
      <c r="Z211" s="431"/>
      <c r="AA211" s="26"/>
      <c r="AB211" s="26"/>
      <c r="AC211" s="931"/>
      <c r="AD211" s="935"/>
    </row>
    <row r="212" spans="2:30" ht="10.5" customHeight="1">
      <c r="B212" s="283"/>
      <c r="C212" s="379" t="s">
        <v>330</v>
      </c>
      <c r="D212" s="444">
        <v>46900</v>
      </c>
      <c r="E212" s="283"/>
      <c r="F212" s="556"/>
      <c r="G212" s="1009" t="s">
        <v>644</v>
      </c>
      <c r="H212" s="1009" t="s">
        <v>1296</v>
      </c>
      <c r="I212" s="1010" t="s">
        <v>645</v>
      </c>
      <c r="J212" s="1010" t="s">
        <v>2578</v>
      </c>
      <c r="K212" s="1011" t="s">
        <v>1323</v>
      </c>
      <c r="L212" s="1012" t="s">
        <v>419</v>
      </c>
      <c r="M212" s="1098" t="s">
        <v>2565</v>
      </c>
      <c r="N212" s="1098" t="s">
        <v>1190</v>
      </c>
      <c r="O212" s="1287" t="s">
        <v>4136</v>
      </c>
      <c r="P212" s="554" t="s">
        <v>2419</v>
      </c>
      <c r="Q212" s="292"/>
      <c r="R212" s="170"/>
      <c r="S212" s="389"/>
      <c r="T212" s="501" t="s">
        <v>2415</v>
      </c>
      <c r="U212" s="501" t="s">
        <v>1894</v>
      </c>
      <c r="W212" s="431" t="s">
        <v>2032</v>
      </c>
      <c r="X212" s="431" t="s">
        <v>3328</v>
      </c>
      <c r="Z212" s="431"/>
      <c r="AA212" s="26"/>
      <c r="AB212" s="26"/>
      <c r="AC212" s="931"/>
      <c r="AD212" s="512"/>
    </row>
    <row r="213" spans="2:30" ht="10.5" customHeight="1">
      <c r="B213" s="283"/>
      <c r="C213" s="379" t="s">
        <v>756</v>
      </c>
      <c r="D213" s="444">
        <v>52100</v>
      </c>
      <c r="E213" s="283"/>
      <c r="F213" s="556"/>
      <c r="G213" s="1009" t="s">
        <v>646</v>
      </c>
      <c r="H213" s="1009" t="s">
        <v>1296</v>
      </c>
      <c r="I213" s="1013" t="s">
        <v>753</v>
      </c>
      <c r="J213" s="1013" t="s">
        <v>2579</v>
      </c>
      <c r="K213" s="1011" t="s">
        <v>2543</v>
      </c>
      <c r="L213" s="1012" t="s">
        <v>420</v>
      </c>
      <c r="M213" s="1097" t="s">
        <v>1181</v>
      </c>
      <c r="N213" s="1097" t="s">
        <v>1190</v>
      </c>
      <c r="O213" s="1287" t="s">
        <v>4137</v>
      </c>
      <c r="P213" s="554" t="s">
        <v>2202</v>
      </c>
      <c r="Q213" s="292"/>
      <c r="R213" s="170"/>
      <c r="S213" s="389"/>
      <c r="T213" s="501" t="s">
        <v>2417</v>
      </c>
      <c r="U213" s="501" t="s">
        <v>861</v>
      </c>
      <c r="W213" s="431" t="s">
        <v>589</v>
      </c>
      <c r="X213" s="431" t="s">
        <v>3328</v>
      </c>
      <c r="Z213" s="431"/>
      <c r="AA213" s="26"/>
      <c r="AB213" s="26"/>
      <c r="AC213" s="931"/>
      <c r="AD213" s="512"/>
    </row>
    <row r="214" spans="2:30" ht="10.5" customHeight="1">
      <c r="B214" s="283"/>
      <c r="C214" s="379" t="s">
        <v>1438</v>
      </c>
      <c r="D214" s="444">
        <v>44200</v>
      </c>
      <c r="E214" s="283"/>
      <c r="F214" s="556"/>
      <c r="G214" s="1009" t="s">
        <v>647</v>
      </c>
      <c r="H214" s="1009" t="s">
        <v>1296</v>
      </c>
      <c r="I214" s="1013" t="s">
        <v>2239</v>
      </c>
      <c r="J214" s="1013" t="s">
        <v>2579</v>
      </c>
      <c r="K214" s="1011" t="s">
        <v>1324</v>
      </c>
      <c r="L214" s="1012" t="s">
        <v>420</v>
      </c>
      <c r="M214" s="1098" t="s">
        <v>1181</v>
      </c>
      <c r="N214" s="1098" t="s">
        <v>1190</v>
      </c>
      <c r="O214" s="1287" t="s">
        <v>4138</v>
      </c>
      <c r="P214" s="554" t="s">
        <v>697</v>
      </c>
      <c r="Q214" s="292"/>
      <c r="R214" s="170"/>
      <c r="S214" s="389"/>
      <c r="T214" s="501" t="s">
        <v>2420</v>
      </c>
      <c r="U214" s="501" t="s">
        <v>157</v>
      </c>
      <c r="W214" s="431" t="s">
        <v>591</v>
      </c>
      <c r="X214" s="431" t="s">
        <v>3328</v>
      </c>
      <c r="Z214" s="431"/>
      <c r="AA214" s="26"/>
      <c r="AB214" s="26"/>
      <c r="AC214" s="931"/>
      <c r="AD214" s="512"/>
    </row>
    <row r="215" spans="2:30" ht="10.5" customHeight="1">
      <c r="B215" s="283"/>
      <c r="C215" s="379" t="s">
        <v>1442</v>
      </c>
      <c r="D215" s="444">
        <v>45700</v>
      </c>
      <c r="E215" s="283"/>
      <c r="F215" s="556"/>
      <c r="G215" s="1009" t="s">
        <v>648</v>
      </c>
      <c r="H215" s="1009" t="s">
        <v>1296</v>
      </c>
      <c r="I215" s="1013" t="s">
        <v>753</v>
      </c>
      <c r="J215" s="1013" t="s">
        <v>2579</v>
      </c>
      <c r="K215" s="1011" t="s">
        <v>2543</v>
      </c>
      <c r="L215" s="1012" t="s">
        <v>420</v>
      </c>
      <c r="M215" s="1097" t="s">
        <v>1181</v>
      </c>
      <c r="N215" s="1097" t="s">
        <v>1190</v>
      </c>
      <c r="O215" s="1287" t="s">
        <v>4139</v>
      </c>
      <c r="P215" s="554" t="s">
        <v>699</v>
      </c>
      <c r="Q215" s="292"/>
      <c r="R215" s="170"/>
      <c r="S215" s="389"/>
      <c r="T215" s="501" t="s">
        <v>2203</v>
      </c>
      <c r="U215" s="501" t="s">
        <v>644</v>
      </c>
      <c r="W215" s="431" t="s">
        <v>2499</v>
      </c>
      <c r="X215" s="431" t="s">
        <v>3328</v>
      </c>
      <c r="Z215" s="431"/>
      <c r="AA215" s="26"/>
      <c r="AB215" s="26"/>
      <c r="AC215" s="931"/>
      <c r="AD215" s="512"/>
    </row>
    <row r="216" spans="2:30" ht="10.5" customHeight="1">
      <c r="B216" s="283"/>
      <c r="C216" s="379" t="s">
        <v>1444</v>
      </c>
      <c r="D216" s="444">
        <v>56600</v>
      </c>
      <c r="E216" s="283"/>
      <c r="F216" s="556"/>
      <c r="G216" s="1009" t="s">
        <v>649</v>
      </c>
      <c r="H216" s="1009" t="s">
        <v>1296</v>
      </c>
      <c r="I216" s="1013" t="s">
        <v>650</v>
      </c>
      <c r="J216" s="1013" t="s">
        <v>2578</v>
      </c>
      <c r="K216" s="1011" t="s">
        <v>1325</v>
      </c>
      <c r="L216" s="1012" t="s">
        <v>419</v>
      </c>
      <c r="M216" s="1098" t="s">
        <v>2565</v>
      </c>
      <c r="N216" s="1098" t="s">
        <v>164</v>
      </c>
      <c r="O216" s="1287" t="s">
        <v>4140</v>
      </c>
      <c r="P216" s="554" t="s">
        <v>701</v>
      </c>
      <c r="Q216" s="292"/>
      <c r="R216" s="170"/>
      <c r="S216" s="389"/>
      <c r="T216" s="501" t="s">
        <v>698</v>
      </c>
      <c r="U216" s="501" t="s">
        <v>2449</v>
      </c>
      <c r="W216" s="431" t="s">
        <v>595</v>
      </c>
      <c r="X216" s="431" t="s">
        <v>3328</v>
      </c>
      <c r="Z216" s="431"/>
      <c r="AA216" s="26"/>
      <c r="AB216" s="26"/>
      <c r="AC216" s="931"/>
      <c r="AD216" s="512"/>
    </row>
    <row r="217" spans="2:30" ht="10.5" customHeight="1">
      <c r="B217" s="283"/>
      <c r="C217" s="379" t="s">
        <v>175</v>
      </c>
      <c r="D217" s="444">
        <v>60100</v>
      </c>
      <c r="E217" s="283"/>
      <c r="F217" s="556"/>
      <c r="G217" s="1009" t="s">
        <v>1191</v>
      </c>
      <c r="H217" s="1009" t="s">
        <v>1774</v>
      </c>
      <c r="I217" s="1013" t="s">
        <v>753</v>
      </c>
      <c r="J217" s="1013" t="s">
        <v>2579</v>
      </c>
      <c r="K217" s="1011" t="s">
        <v>2543</v>
      </c>
      <c r="L217" s="1012" t="s">
        <v>420</v>
      </c>
      <c r="M217" s="1097" t="s">
        <v>1181</v>
      </c>
      <c r="N217" s="1097" t="s">
        <v>1190</v>
      </c>
      <c r="O217" s="1287" t="s">
        <v>4141</v>
      </c>
      <c r="P217" s="554" t="s">
        <v>703</v>
      </c>
      <c r="Q217" s="292"/>
      <c r="R217" s="170"/>
      <c r="S217" s="389"/>
      <c r="T217" s="501" t="s">
        <v>700</v>
      </c>
      <c r="U217" s="501" t="s">
        <v>1096</v>
      </c>
      <c r="W217" s="431" t="s">
        <v>538</v>
      </c>
      <c r="X217" s="431" t="s">
        <v>3328</v>
      </c>
      <c r="Z217" s="431"/>
      <c r="AA217" s="26"/>
      <c r="AB217" s="26"/>
      <c r="AC217" s="931"/>
      <c r="AD217" s="512"/>
    </row>
    <row r="218" spans="2:30" ht="10.5" customHeight="1">
      <c r="B218" s="283"/>
      <c r="C218" s="379" t="s">
        <v>1305</v>
      </c>
      <c r="D218" s="444">
        <v>53600</v>
      </c>
      <c r="E218" s="283"/>
      <c r="F218" s="556"/>
      <c r="G218" s="1009" t="s">
        <v>651</v>
      </c>
      <c r="H218" s="1009" t="s">
        <v>1296</v>
      </c>
      <c r="I218" s="1010" t="s">
        <v>652</v>
      </c>
      <c r="J218" s="1010" t="s">
        <v>2578</v>
      </c>
      <c r="K218" s="1011" t="s">
        <v>236</v>
      </c>
      <c r="L218" s="1012" t="s">
        <v>419</v>
      </c>
      <c r="M218" s="1098" t="s">
        <v>2565</v>
      </c>
      <c r="N218" s="1098" t="s">
        <v>1190</v>
      </c>
      <c r="O218" s="1287" t="s">
        <v>4142</v>
      </c>
      <c r="P218" s="554" t="s">
        <v>2194</v>
      </c>
      <c r="Q218" s="292"/>
      <c r="R218" s="170"/>
      <c r="S218" s="389"/>
      <c r="T218" s="555" t="s">
        <v>702</v>
      </c>
      <c r="U218" s="555" t="s">
        <v>2556</v>
      </c>
      <c r="W218" s="431" t="s">
        <v>735</v>
      </c>
      <c r="X218" s="431" t="s">
        <v>3328</v>
      </c>
      <c r="Z218" s="431"/>
      <c r="AA218" s="26"/>
      <c r="AB218" s="26"/>
      <c r="AC218" s="932"/>
      <c r="AD218" s="512"/>
    </row>
    <row r="219" spans="2:30" ht="10.5" customHeight="1">
      <c r="B219" s="283"/>
      <c r="C219" s="379" t="s">
        <v>176</v>
      </c>
      <c r="D219" s="444">
        <v>40400</v>
      </c>
      <c r="E219" s="283"/>
      <c r="F219" s="556"/>
      <c r="G219" s="1009" t="s">
        <v>653</v>
      </c>
      <c r="H219" s="1009" t="s">
        <v>1296</v>
      </c>
      <c r="I219" s="1013" t="s">
        <v>654</v>
      </c>
      <c r="J219" s="1013" t="s">
        <v>2578</v>
      </c>
      <c r="K219" s="1011" t="s">
        <v>237</v>
      </c>
      <c r="L219" s="1012" t="s">
        <v>419</v>
      </c>
      <c r="M219" s="1098" t="s">
        <v>2565</v>
      </c>
      <c r="N219" s="1098" t="s">
        <v>1315</v>
      </c>
      <c r="O219" s="1287" t="s">
        <v>4143</v>
      </c>
      <c r="P219" s="554" t="s">
        <v>2195</v>
      </c>
      <c r="Q219" s="292"/>
      <c r="R219" s="170"/>
      <c r="S219" s="389"/>
      <c r="T219" s="501" t="s">
        <v>2530</v>
      </c>
      <c r="U219" s="501" t="s">
        <v>2451</v>
      </c>
      <c r="W219" s="431" t="s">
        <v>35</v>
      </c>
      <c r="X219" s="431" t="s">
        <v>3328</v>
      </c>
      <c r="Z219" s="431"/>
      <c r="AA219" s="26"/>
      <c r="AB219" s="26"/>
      <c r="AC219" s="931"/>
      <c r="AD219" s="512"/>
    </row>
    <row r="220" spans="2:30" ht="10.5" customHeight="1">
      <c r="B220" s="283"/>
      <c r="C220" s="379" t="s">
        <v>758</v>
      </c>
      <c r="D220" s="444">
        <v>47600</v>
      </c>
      <c r="E220" s="283"/>
      <c r="F220" s="556"/>
      <c r="G220" s="1009" t="s">
        <v>655</v>
      </c>
      <c r="H220" s="1009" t="s">
        <v>1774</v>
      </c>
      <c r="I220" s="1010" t="s">
        <v>9</v>
      </c>
      <c r="J220" s="1010" t="s">
        <v>2579</v>
      </c>
      <c r="K220" s="1011" t="s">
        <v>2548</v>
      </c>
      <c r="L220" s="1012" t="s">
        <v>420</v>
      </c>
      <c r="M220" s="1098" t="s">
        <v>1181</v>
      </c>
      <c r="N220" s="1098" t="s">
        <v>1311</v>
      </c>
      <c r="O220" s="1287" t="s">
        <v>4144</v>
      </c>
      <c r="P220" s="554" t="s">
        <v>2197</v>
      </c>
      <c r="Q220" s="292"/>
      <c r="R220" s="170"/>
      <c r="S220" s="389"/>
      <c r="T220" s="501" t="s">
        <v>2196</v>
      </c>
      <c r="U220" s="501" t="s">
        <v>1647</v>
      </c>
      <c r="W220" s="431" t="s">
        <v>1941</v>
      </c>
      <c r="X220" s="431" t="s">
        <v>3328</v>
      </c>
      <c r="Z220" s="431"/>
      <c r="AA220" s="26"/>
      <c r="AB220" s="26"/>
      <c r="AC220" s="931"/>
      <c r="AD220" s="512"/>
    </row>
    <row r="221" spans="2:30" ht="10.5" customHeight="1">
      <c r="B221" s="283"/>
      <c r="C221" s="379" t="s">
        <v>1613</v>
      </c>
      <c r="D221" s="444">
        <v>47400</v>
      </c>
      <c r="E221" s="283"/>
      <c r="F221" s="556"/>
      <c r="G221" s="1009" t="s">
        <v>656</v>
      </c>
      <c r="H221" s="1009" t="s">
        <v>1296</v>
      </c>
      <c r="I221" s="1010" t="s">
        <v>657</v>
      </c>
      <c r="J221" s="1010" t="s">
        <v>2578</v>
      </c>
      <c r="K221" s="1011" t="s">
        <v>238</v>
      </c>
      <c r="L221" s="1012" t="s">
        <v>419</v>
      </c>
      <c r="M221" s="1098" t="s">
        <v>2565</v>
      </c>
      <c r="N221" s="1098" t="s">
        <v>1190</v>
      </c>
      <c r="O221" s="1287" t="s">
        <v>4145</v>
      </c>
      <c r="P221" s="554" t="s">
        <v>673</v>
      </c>
      <c r="Q221" s="292"/>
      <c r="R221" s="170"/>
      <c r="S221" s="389"/>
      <c r="T221" s="501" t="s">
        <v>2198</v>
      </c>
      <c r="U221" s="501" t="s">
        <v>2550</v>
      </c>
      <c r="W221" s="431" t="s">
        <v>332</v>
      </c>
      <c r="X221" s="431" t="s">
        <v>3328</v>
      </c>
      <c r="Z221" s="431"/>
      <c r="AA221" s="26"/>
      <c r="AB221" s="26"/>
      <c r="AC221" s="931"/>
      <c r="AD221" s="512"/>
    </row>
    <row r="222" spans="2:30" ht="10.5" customHeight="1">
      <c r="B222" s="283"/>
      <c r="C222" s="379" t="s">
        <v>1615</v>
      </c>
      <c r="D222" s="444">
        <v>44600</v>
      </c>
      <c r="E222" s="283"/>
      <c r="F222" s="556"/>
      <c r="G222" s="1009" t="s">
        <v>658</v>
      </c>
      <c r="H222" s="1009" t="s">
        <v>1196</v>
      </c>
      <c r="I222" s="1010" t="s">
        <v>659</v>
      </c>
      <c r="J222" s="1010" t="s">
        <v>2578</v>
      </c>
      <c r="K222" s="1011" t="s">
        <v>399</v>
      </c>
      <c r="L222" s="1012" t="s">
        <v>419</v>
      </c>
      <c r="M222" s="1098" t="s">
        <v>2565</v>
      </c>
      <c r="N222" s="1098" t="s">
        <v>1760</v>
      </c>
      <c r="O222" s="1287" t="s">
        <v>4146</v>
      </c>
      <c r="P222" s="554" t="s">
        <v>777</v>
      </c>
      <c r="Q222" s="292"/>
      <c r="R222" s="170"/>
      <c r="S222" s="389"/>
      <c r="T222" s="501" t="s">
        <v>674</v>
      </c>
      <c r="U222" s="501" t="s">
        <v>722</v>
      </c>
      <c r="W222" s="431" t="s">
        <v>340</v>
      </c>
      <c r="X222" s="431" t="s">
        <v>3328</v>
      </c>
      <c r="Z222" s="431"/>
      <c r="AA222" s="26"/>
      <c r="AB222" s="26"/>
      <c r="AC222" s="931"/>
      <c r="AD222" s="512"/>
    </row>
    <row r="223" spans="2:30" ht="10.5" customHeight="1">
      <c r="B223" s="283"/>
      <c r="C223" s="379" t="s">
        <v>2016</v>
      </c>
      <c r="D223" s="444">
        <v>60900</v>
      </c>
      <c r="E223" s="283"/>
      <c r="F223" s="556"/>
      <c r="G223" s="1009" t="s">
        <v>660</v>
      </c>
      <c r="H223" s="1009" t="s">
        <v>1296</v>
      </c>
      <c r="I223" s="1010" t="s">
        <v>661</v>
      </c>
      <c r="J223" s="1010" t="s">
        <v>2578</v>
      </c>
      <c r="K223" s="1011" t="s">
        <v>400</v>
      </c>
      <c r="L223" s="1012" t="s">
        <v>419</v>
      </c>
      <c r="M223" s="1098" t="s">
        <v>2565</v>
      </c>
      <c r="N223" s="1098" t="s">
        <v>164</v>
      </c>
      <c r="O223" s="1287" t="s">
        <v>4147</v>
      </c>
      <c r="P223" s="554" t="s">
        <v>2242</v>
      </c>
      <c r="Q223" s="292"/>
      <c r="R223" s="170"/>
      <c r="S223" s="389"/>
      <c r="T223" s="501" t="s">
        <v>2241</v>
      </c>
      <c r="U223" s="501" t="s">
        <v>313</v>
      </c>
      <c r="W223" s="431" t="s">
        <v>193</v>
      </c>
      <c r="X223" s="431" t="s">
        <v>3328</v>
      </c>
      <c r="Z223" s="431"/>
      <c r="AA223" s="26"/>
      <c r="AB223" s="26"/>
      <c r="AC223" s="931"/>
      <c r="AD223" s="512"/>
    </row>
    <row r="224" spans="2:30" ht="10.5" customHeight="1">
      <c r="B224" s="283"/>
      <c r="C224" s="379" t="s">
        <v>183</v>
      </c>
      <c r="D224" s="444">
        <v>44600</v>
      </c>
      <c r="E224" s="283"/>
      <c r="F224" s="556"/>
      <c r="G224" s="1009" t="s">
        <v>119</v>
      </c>
      <c r="H224" s="1009" t="s">
        <v>1296</v>
      </c>
      <c r="I224" s="1013" t="s">
        <v>753</v>
      </c>
      <c r="J224" s="1013" t="s">
        <v>2579</v>
      </c>
      <c r="K224" s="1011" t="s">
        <v>2543</v>
      </c>
      <c r="L224" s="1012" t="s">
        <v>420</v>
      </c>
      <c r="M224" s="1097" t="s">
        <v>1181</v>
      </c>
      <c r="N224" s="1097" t="s">
        <v>1190</v>
      </c>
      <c r="O224" s="1287" t="s">
        <v>4148</v>
      </c>
      <c r="P224" s="554" t="s">
        <v>2271</v>
      </c>
      <c r="Q224" s="292"/>
      <c r="R224" s="170"/>
      <c r="S224" s="389"/>
      <c r="T224" s="501" t="s">
        <v>2302</v>
      </c>
      <c r="U224" s="501" t="s">
        <v>865</v>
      </c>
      <c r="W224" s="431" t="s">
        <v>2128</v>
      </c>
      <c r="X224" s="431" t="s">
        <v>3328</v>
      </c>
      <c r="Z224" s="431"/>
      <c r="AA224" s="26"/>
      <c r="AB224" s="26"/>
      <c r="AC224" s="931"/>
      <c r="AD224" s="512"/>
    </row>
    <row r="225" spans="2:30" ht="10.5" customHeight="1">
      <c r="B225" s="283"/>
      <c r="C225" s="378" t="s">
        <v>2551</v>
      </c>
      <c r="D225" s="444">
        <v>59200</v>
      </c>
      <c r="E225" s="283"/>
      <c r="F225" s="556"/>
      <c r="G225" s="1009" t="s">
        <v>120</v>
      </c>
      <c r="H225" s="1009" t="s">
        <v>1296</v>
      </c>
      <c r="I225" s="1010" t="s">
        <v>121</v>
      </c>
      <c r="J225" s="1010" t="s">
        <v>2578</v>
      </c>
      <c r="K225" s="1011" t="s">
        <v>401</v>
      </c>
      <c r="L225" s="1012" t="s">
        <v>419</v>
      </c>
      <c r="M225" s="1098" t="s">
        <v>2565</v>
      </c>
      <c r="N225" s="1098" t="s">
        <v>164</v>
      </c>
      <c r="O225" s="1287" t="s">
        <v>4149</v>
      </c>
      <c r="P225" s="554" t="s">
        <v>43</v>
      </c>
      <c r="Q225" s="292"/>
      <c r="R225" s="170"/>
      <c r="S225" s="389"/>
      <c r="T225" s="501" t="s">
        <v>44</v>
      </c>
      <c r="U225" s="501" t="s">
        <v>320</v>
      </c>
      <c r="W225" s="431" t="s">
        <v>194</v>
      </c>
      <c r="X225" s="431" t="s">
        <v>3328</v>
      </c>
      <c r="Z225" s="431"/>
      <c r="AA225" s="26"/>
      <c r="AB225" s="26"/>
      <c r="AC225" s="934"/>
      <c r="AD225" s="512"/>
    </row>
    <row r="226" spans="2:30" ht="10.5" customHeight="1">
      <c r="B226" s="283"/>
      <c r="C226" s="379" t="s">
        <v>2553</v>
      </c>
      <c r="D226" s="444">
        <v>48100</v>
      </c>
      <c r="E226" s="283"/>
      <c r="F226" s="556"/>
      <c r="G226" s="1009" t="s">
        <v>308</v>
      </c>
      <c r="H226" s="1009" t="s">
        <v>1296</v>
      </c>
      <c r="I226" s="1010" t="s">
        <v>1206</v>
      </c>
      <c r="J226" s="1010" t="s">
        <v>2579</v>
      </c>
      <c r="K226" s="1011" t="s">
        <v>402</v>
      </c>
      <c r="L226" s="1012" t="s">
        <v>420</v>
      </c>
      <c r="M226" s="1098" t="s">
        <v>1181</v>
      </c>
      <c r="N226" s="1098" t="s">
        <v>1190</v>
      </c>
      <c r="O226" s="1287" t="s">
        <v>4150</v>
      </c>
      <c r="P226" s="554" t="s">
        <v>622</v>
      </c>
      <c r="Q226" s="292"/>
      <c r="R226" s="170"/>
      <c r="S226" s="389"/>
      <c r="T226" s="501" t="s">
        <v>623</v>
      </c>
      <c r="U226" s="501" t="s">
        <v>2558</v>
      </c>
      <c r="W226" s="431" t="s">
        <v>379</v>
      </c>
      <c r="X226" s="431" t="s">
        <v>3328</v>
      </c>
      <c r="Z226" s="431"/>
      <c r="AA226" s="26"/>
      <c r="AB226" s="26"/>
      <c r="AC226" s="931"/>
      <c r="AD226" s="512"/>
    </row>
    <row r="227" spans="2:30" ht="10.5" customHeight="1">
      <c r="B227" s="283"/>
      <c r="C227" s="379" t="s">
        <v>1079</v>
      </c>
      <c r="D227" s="444">
        <v>56400</v>
      </c>
      <c r="E227" s="283"/>
      <c r="F227" s="556"/>
      <c r="G227" s="1014" t="s">
        <v>309</v>
      </c>
      <c r="H227" s="1009" t="s">
        <v>1296</v>
      </c>
      <c r="I227" s="1010" t="s">
        <v>310</v>
      </c>
      <c r="J227" s="1010" t="s">
        <v>2578</v>
      </c>
      <c r="K227" s="1011" t="s">
        <v>403</v>
      </c>
      <c r="L227" s="1012" t="s">
        <v>419</v>
      </c>
      <c r="M227" s="1098" t="s">
        <v>2565</v>
      </c>
      <c r="N227" s="1098" t="s">
        <v>1305</v>
      </c>
      <c r="O227" s="1287" t="s">
        <v>4151</v>
      </c>
      <c r="P227" s="554" t="s">
        <v>301</v>
      </c>
      <c r="Q227" s="292"/>
      <c r="R227" s="170"/>
      <c r="S227" s="389"/>
      <c r="T227" s="501" t="s">
        <v>302</v>
      </c>
      <c r="U227" s="501" t="s">
        <v>311</v>
      </c>
      <c r="W227" s="431" t="s">
        <v>860</v>
      </c>
      <c r="X227" s="431" t="s">
        <v>3328</v>
      </c>
      <c r="Z227" s="431"/>
      <c r="AA227" s="26"/>
      <c r="AB227" s="26"/>
      <c r="AC227" s="931"/>
      <c r="AD227" s="512"/>
    </row>
    <row r="228" spans="2:30" ht="10.5" customHeight="1">
      <c r="B228" s="283"/>
      <c r="C228" s="379" t="s">
        <v>1082</v>
      </c>
      <c r="D228" s="444">
        <v>50800</v>
      </c>
      <c r="E228" s="283"/>
      <c r="F228" s="556"/>
      <c r="G228" s="1009" t="s">
        <v>311</v>
      </c>
      <c r="H228" s="1009" t="s">
        <v>1296</v>
      </c>
      <c r="I228" s="1013" t="s">
        <v>755</v>
      </c>
      <c r="J228" s="1013" t="s">
        <v>2579</v>
      </c>
      <c r="K228" s="1011" t="s">
        <v>404</v>
      </c>
      <c r="L228" s="1012" t="s">
        <v>420</v>
      </c>
      <c r="M228" s="1097" t="s">
        <v>2565</v>
      </c>
      <c r="N228" s="1097" t="s">
        <v>1190</v>
      </c>
      <c r="O228" s="1287" t="s">
        <v>4152</v>
      </c>
      <c r="P228" s="554" t="s">
        <v>2340</v>
      </c>
      <c r="Q228" s="292"/>
      <c r="R228" s="170"/>
      <c r="S228" s="389"/>
      <c r="T228" s="501" t="s">
        <v>2341</v>
      </c>
      <c r="U228" s="501" t="s">
        <v>194</v>
      </c>
      <c r="W228" s="431" t="s">
        <v>1898</v>
      </c>
      <c r="X228" s="431" t="s">
        <v>3328</v>
      </c>
      <c r="Z228" s="431"/>
      <c r="AA228" s="26"/>
      <c r="AB228" s="26"/>
      <c r="AC228" s="931"/>
      <c r="AD228" s="512"/>
    </row>
    <row r="229" spans="2:30" ht="10.5" customHeight="1">
      <c r="B229" s="283"/>
      <c r="C229" s="379" t="s">
        <v>1085</v>
      </c>
      <c r="D229" s="444">
        <v>51300</v>
      </c>
      <c r="E229" s="283"/>
      <c r="F229" s="556"/>
      <c r="G229" s="1009" t="s">
        <v>312</v>
      </c>
      <c r="H229" s="1009" t="s">
        <v>1196</v>
      </c>
      <c r="I229" s="1013" t="s">
        <v>159</v>
      </c>
      <c r="J229" s="1013" t="s">
        <v>2579</v>
      </c>
      <c r="K229" s="1011" t="s">
        <v>1661</v>
      </c>
      <c r="L229" s="1012" t="s">
        <v>420</v>
      </c>
      <c r="M229" s="1097" t="s">
        <v>2565</v>
      </c>
      <c r="N229" s="1097" t="s">
        <v>159</v>
      </c>
      <c r="O229" s="1287" t="s">
        <v>4153</v>
      </c>
      <c r="P229" s="554" t="s">
        <v>2361</v>
      </c>
      <c r="Q229" s="292"/>
      <c r="R229" s="170"/>
      <c r="S229" s="389"/>
      <c r="T229" s="501" t="s">
        <v>2362</v>
      </c>
      <c r="U229" s="501" t="s">
        <v>1646</v>
      </c>
      <c r="W229" s="431" t="s">
        <v>1902</v>
      </c>
      <c r="X229" s="431" t="s">
        <v>3328</v>
      </c>
      <c r="Z229" s="431"/>
      <c r="AA229" s="26"/>
      <c r="AB229" s="26"/>
      <c r="AC229" s="931"/>
      <c r="AD229" s="512"/>
    </row>
    <row r="230" spans="2:30" ht="10.5" customHeight="1">
      <c r="B230" s="283"/>
      <c r="C230" s="378" t="s">
        <v>1087</v>
      </c>
      <c r="D230" s="444">
        <v>48500</v>
      </c>
      <c r="E230" s="283"/>
      <c r="F230" s="556"/>
      <c r="G230" s="1009" t="s">
        <v>313</v>
      </c>
      <c r="H230" s="1009" t="s">
        <v>1296</v>
      </c>
      <c r="I230" s="1010" t="s">
        <v>314</v>
      </c>
      <c r="J230" s="1010" t="s">
        <v>2578</v>
      </c>
      <c r="K230" s="1011" t="s">
        <v>405</v>
      </c>
      <c r="L230" s="1012" t="s">
        <v>419</v>
      </c>
      <c r="M230" s="1098" t="s">
        <v>2565</v>
      </c>
      <c r="N230" s="1098" t="s">
        <v>164</v>
      </c>
      <c r="O230" s="1287" t="s">
        <v>4154</v>
      </c>
      <c r="P230" s="554" t="s">
        <v>2363</v>
      </c>
      <c r="Q230" s="292"/>
      <c r="R230" s="170"/>
      <c r="S230" s="389"/>
      <c r="T230" s="501" t="s">
        <v>2793</v>
      </c>
      <c r="U230" s="501" t="s">
        <v>617</v>
      </c>
      <c r="W230" s="431" t="s">
        <v>706</v>
      </c>
      <c r="X230" s="431" t="s">
        <v>3328</v>
      </c>
      <c r="Z230" s="431"/>
      <c r="AA230" s="26"/>
      <c r="AB230" s="26"/>
      <c r="AC230" s="931"/>
      <c r="AD230" s="512"/>
    </row>
    <row r="231" spans="2:30" ht="10.5" customHeight="1">
      <c r="B231" s="283"/>
      <c r="C231" s="379" t="s">
        <v>1089</v>
      </c>
      <c r="D231" s="444">
        <v>58600</v>
      </c>
      <c r="E231" s="283"/>
      <c r="F231" s="556"/>
      <c r="G231" s="1009" t="s">
        <v>315</v>
      </c>
      <c r="H231" s="1009" t="s">
        <v>1196</v>
      </c>
      <c r="I231" s="1013" t="s">
        <v>753</v>
      </c>
      <c r="J231" s="1013" t="s">
        <v>2579</v>
      </c>
      <c r="K231" s="1011" t="s">
        <v>2543</v>
      </c>
      <c r="L231" s="1012" t="s">
        <v>420</v>
      </c>
      <c r="M231" s="1097" t="s">
        <v>1181</v>
      </c>
      <c r="N231" s="1097" t="s">
        <v>1190</v>
      </c>
      <c r="O231" s="1287" t="s">
        <v>4155</v>
      </c>
      <c r="P231" s="554" t="s">
        <v>2364</v>
      </c>
      <c r="Q231" s="292"/>
      <c r="R231" s="170"/>
      <c r="S231" s="389"/>
      <c r="T231" s="501" t="s">
        <v>618</v>
      </c>
      <c r="U231" s="501" t="s">
        <v>1312</v>
      </c>
      <c r="W231" s="431" t="s">
        <v>1127</v>
      </c>
      <c r="X231" s="431" t="s">
        <v>3328</v>
      </c>
      <c r="Z231" s="431"/>
      <c r="AA231" s="26"/>
      <c r="AB231" s="26"/>
      <c r="AC231" s="931"/>
      <c r="AD231" s="512"/>
    </row>
    <row r="232" spans="2:30" ht="10.5" customHeight="1">
      <c r="B232" s="283"/>
      <c r="C232" s="379" t="s">
        <v>1091</v>
      </c>
      <c r="D232" s="444">
        <v>37400</v>
      </c>
      <c r="E232" s="283"/>
      <c r="F232" s="556"/>
      <c r="G232" s="1009" t="s">
        <v>316</v>
      </c>
      <c r="H232" s="1009" t="s">
        <v>1296</v>
      </c>
      <c r="I232" s="1013" t="s">
        <v>753</v>
      </c>
      <c r="J232" s="1013" t="s">
        <v>2579</v>
      </c>
      <c r="K232" s="1011" t="s">
        <v>2543</v>
      </c>
      <c r="L232" s="1012" t="s">
        <v>420</v>
      </c>
      <c r="M232" s="1097" t="s">
        <v>1181</v>
      </c>
      <c r="N232" s="1097" t="s">
        <v>1190</v>
      </c>
      <c r="O232" s="1287" t="s">
        <v>4156</v>
      </c>
      <c r="P232" s="554" t="s">
        <v>2332</v>
      </c>
      <c r="Q232" s="292"/>
      <c r="R232" s="170"/>
      <c r="S232" s="389"/>
      <c r="T232" s="501" t="s">
        <v>1309</v>
      </c>
      <c r="U232" s="501" t="s">
        <v>646</v>
      </c>
      <c r="W232" s="431" t="s">
        <v>1129</v>
      </c>
      <c r="X232" s="431" t="s">
        <v>3328</v>
      </c>
      <c r="Z232" s="431"/>
      <c r="AA232" s="26"/>
      <c r="AB232" s="26"/>
      <c r="AC232" s="931"/>
      <c r="AD232" s="512"/>
    </row>
    <row r="233" spans="2:30" ht="10.5" customHeight="1">
      <c r="B233" s="283"/>
      <c r="C233" s="379" t="s">
        <v>1093</v>
      </c>
      <c r="D233" s="444">
        <v>49900</v>
      </c>
      <c r="E233" s="283"/>
      <c r="F233" s="556"/>
      <c r="G233" s="1009" t="s">
        <v>317</v>
      </c>
      <c r="H233" s="1009" t="s">
        <v>1296</v>
      </c>
      <c r="I233" s="1013" t="s">
        <v>1688</v>
      </c>
      <c r="J233" s="1013" t="s">
        <v>2579</v>
      </c>
      <c r="K233" s="1011" t="s">
        <v>406</v>
      </c>
      <c r="L233" s="1012" t="s">
        <v>420</v>
      </c>
      <c r="M233" s="1098" t="s">
        <v>1181</v>
      </c>
      <c r="N233" s="1098" t="s">
        <v>1305</v>
      </c>
      <c r="O233" s="1287" t="s">
        <v>4157</v>
      </c>
      <c r="P233" s="554" t="s">
        <v>8</v>
      </c>
      <c r="Q233" s="292"/>
      <c r="R233" s="170"/>
      <c r="S233" s="389"/>
      <c r="T233" s="501" t="s">
        <v>2333</v>
      </c>
      <c r="U233" s="501" t="s">
        <v>2455</v>
      </c>
      <c r="W233" s="431" t="s">
        <v>1131</v>
      </c>
      <c r="X233" s="431" t="s">
        <v>3328</v>
      </c>
      <c r="Z233" s="431"/>
      <c r="AA233" s="26"/>
      <c r="AB233" s="26"/>
      <c r="AC233" s="931"/>
      <c r="AD233" s="512"/>
    </row>
    <row r="234" spans="2:30" ht="10.5" customHeight="1">
      <c r="B234" s="283"/>
      <c r="C234" s="378" t="s">
        <v>1095</v>
      </c>
      <c r="D234" s="444">
        <v>37100</v>
      </c>
      <c r="E234" s="283"/>
      <c r="F234" s="556"/>
      <c r="G234" s="1009" t="s">
        <v>318</v>
      </c>
      <c r="H234" s="1009" t="s">
        <v>1196</v>
      </c>
      <c r="I234" s="1010" t="s">
        <v>319</v>
      </c>
      <c r="J234" s="1010" t="s">
        <v>2578</v>
      </c>
      <c r="K234" s="1011" t="s">
        <v>637</v>
      </c>
      <c r="L234" s="1012" t="s">
        <v>419</v>
      </c>
      <c r="M234" s="1098" t="s">
        <v>2565</v>
      </c>
      <c r="N234" s="1098" t="s">
        <v>1760</v>
      </c>
      <c r="O234" s="1287" t="s">
        <v>4158</v>
      </c>
      <c r="P234" s="554" t="s">
        <v>10</v>
      </c>
      <c r="Q234" s="292"/>
      <c r="R234" s="170"/>
      <c r="S234" s="389"/>
      <c r="T234" s="501" t="s">
        <v>9</v>
      </c>
      <c r="U234" s="501" t="s">
        <v>655</v>
      </c>
      <c r="W234" s="431" t="s">
        <v>2481</v>
      </c>
      <c r="X234" s="431" t="s">
        <v>3328</v>
      </c>
      <c r="Z234" s="431"/>
      <c r="AA234" s="26"/>
      <c r="AB234" s="26"/>
      <c r="AC234" s="931"/>
      <c r="AD234" s="512"/>
    </row>
    <row r="235" spans="2:30" ht="10.5" customHeight="1">
      <c r="B235" s="283"/>
      <c r="C235" s="378" t="s">
        <v>2239</v>
      </c>
      <c r="D235" s="444">
        <v>54400</v>
      </c>
      <c r="E235" s="283"/>
      <c r="F235" s="556"/>
      <c r="G235" s="1009" t="s">
        <v>320</v>
      </c>
      <c r="H235" s="1009" t="s">
        <v>1296</v>
      </c>
      <c r="I235" s="1010" t="s">
        <v>321</v>
      </c>
      <c r="J235" s="1010" t="s">
        <v>2578</v>
      </c>
      <c r="K235" s="1011" t="s">
        <v>638</v>
      </c>
      <c r="L235" s="1012" t="s">
        <v>419</v>
      </c>
      <c r="M235" s="1098" t="s">
        <v>2565</v>
      </c>
      <c r="N235" s="1098" t="s">
        <v>1190</v>
      </c>
      <c r="O235" s="1287" t="s">
        <v>4159</v>
      </c>
      <c r="P235" s="554" t="s">
        <v>54</v>
      </c>
      <c r="Q235" s="292"/>
      <c r="R235" s="170"/>
      <c r="S235" s="389"/>
      <c r="T235" s="501" t="s">
        <v>11</v>
      </c>
      <c r="U235" s="501" t="s">
        <v>311</v>
      </c>
      <c r="W235" s="431" t="s">
        <v>451</v>
      </c>
      <c r="X235" s="431" t="s">
        <v>3328</v>
      </c>
      <c r="Z235" s="431"/>
      <c r="AA235" s="26"/>
      <c r="AB235" s="26"/>
      <c r="AC235" s="931"/>
      <c r="AD235" s="512"/>
    </row>
    <row r="236" spans="2:30" ht="10.5" customHeight="1">
      <c r="B236" s="283"/>
      <c r="C236" s="379" t="s">
        <v>1311</v>
      </c>
      <c r="D236" s="444">
        <v>65200</v>
      </c>
      <c r="E236" s="283"/>
      <c r="F236" s="556"/>
      <c r="G236" s="1009" t="s">
        <v>322</v>
      </c>
      <c r="H236" s="1009" t="s">
        <v>1296</v>
      </c>
      <c r="I236" s="1013" t="s">
        <v>753</v>
      </c>
      <c r="J236" s="1013" t="s">
        <v>2579</v>
      </c>
      <c r="K236" s="1011" t="s">
        <v>2543</v>
      </c>
      <c r="L236" s="1012" t="s">
        <v>420</v>
      </c>
      <c r="M236" s="1097" t="s">
        <v>1181</v>
      </c>
      <c r="N236" s="1097" t="s">
        <v>1190</v>
      </c>
      <c r="O236" s="1287" t="s">
        <v>4160</v>
      </c>
      <c r="P236" s="554" t="s">
        <v>56</v>
      </c>
      <c r="Q236" s="292"/>
      <c r="R236" s="170"/>
      <c r="S236" s="389"/>
      <c r="T236" s="501" t="s">
        <v>55</v>
      </c>
      <c r="U236" s="501" t="s">
        <v>2550</v>
      </c>
      <c r="W236" s="431" t="s">
        <v>298</v>
      </c>
      <c r="X236" s="431" t="s">
        <v>3328</v>
      </c>
      <c r="Z236" s="431"/>
      <c r="AA236" s="26"/>
      <c r="AB236" s="26"/>
      <c r="AC236" s="931"/>
      <c r="AD236" s="512"/>
    </row>
    <row r="237" spans="2:30" ht="10.5" customHeight="1">
      <c r="B237" s="283"/>
      <c r="C237" s="379" t="s">
        <v>2140</v>
      </c>
      <c r="D237" s="444">
        <v>51700</v>
      </c>
      <c r="E237" s="283"/>
      <c r="F237" s="556"/>
      <c r="G237" s="1009" t="s">
        <v>323</v>
      </c>
      <c r="H237" s="1009" t="s">
        <v>1196</v>
      </c>
      <c r="I237" s="1010" t="s">
        <v>324</v>
      </c>
      <c r="J237" s="1010" t="s">
        <v>2578</v>
      </c>
      <c r="K237" s="1011" t="s">
        <v>639</v>
      </c>
      <c r="L237" s="1012" t="s">
        <v>419</v>
      </c>
      <c r="M237" s="1098" t="s">
        <v>2565</v>
      </c>
      <c r="N237" s="1098" t="s">
        <v>1675</v>
      </c>
      <c r="O237" s="1287" t="s">
        <v>4161</v>
      </c>
      <c r="P237" s="554" t="s">
        <v>58</v>
      </c>
      <c r="Q237" s="292"/>
      <c r="R237" s="170"/>
      <c r="S237" s="389"/>
      <c r="T237" s="501" t="s">
        <v>57</v>
      </c>
      <c r="U237" s="501" t="s">
        <v>354</v>
      </c>
      <c r="W237" s="431" t="s">
        <v>1800</v>
      </c>
      <c r="X237" s="431" t="s">
        <v>3328</v>
      </c>
      <c r="Z237" s="431"/>
      <c r="AA237" s="26"/>
      <c r="AB237" s="26"/>
      <c r="AC237" s="931"/>
      <c r="AD237" s="512"/>
    </row>
    <row r="238" spans="2:30" ht="10.5" customHeight="1">
      <c r="B238" s="283"/>
      <c r="C238" s="379" t="s">
        <v>2142</v>
      </c>
      <c r="D238" s="444">
        <v>46800</v>
      </c>
      <c r="E238" s="283"/>
      <c r="F238" s="556"/>
      <c r="G238" s="1009" t="s">
        <v>325</v>
      </c>
      <c r="H238" s="1009" t="s">
        <v>1196</v>
      </c>
      <c r="I238" s="1010" t="s">
        <v>326</v>
      </c>
      <c r="J238" s="1010" t="s">
        <v>2578</v>
      </c>
      <c r="K238" s="1011" t="s">
        <v>261</v>
      </c>
      <c r="L238" s="1012" t="s">
        <v>419</v>
      </c>
      <c r="M238" s="1098" t="s">
        <v>2565</v>
      </c>
      <c r="N238" s="1098" t="s">
        <v>1315</v>
      </c>
      <c r="O238" s="1287" t="s">
        <v>4162</v>
      </c>
      <c r="P238" s="554" t="s">
        <v>348</v>
      </c>
      <c r="Q238" s="292"/>
      <c r="R238" s="170"/>
      <c r="S238" s="389"/>
      <c r="T238" s="501" t="s">
        <v>59</v>
      </c>
      <c r="U238" s="501" t="s">
        <v>119</v>
      </c>
      <c r="W238" s="431" t="s">
        <v>1802</v>
      </c>
      <c r="X238" s="431" t="s">
        <v>3328</v>
      </c>
      <c r="Z238" s="431"/>
      <c r="AA238" s="26"/>
      <c r="AB238" s="26"/>
      <c r="AC238" s="931"/>
      <c r="AD238" s="512"/>
    </row>
    <row r="239" spans="2:30" ht="10.5" customHeight="1">
      <c r="B239" s="283"/>
      <c r="C239" s="379" t="s">
        <v>2144</v>
      </c>
      <c r="D239" s="444">
        <v>45600</v>
      </c>
      <c r="E239" s="283"/>
      <c r="F239" s="556"/>
      <c r="G239" s="1009" t="s">
        <v>327</v>
      </c>
      <c r="H239" s="1009" t="s">
        <v>1196</v>
      </c>
      <c r="I239" s="1010" t="s">
        <v>328</v>
      </c>
      <c r="J239" s="1010" t="s">
        <v>2578</v>
      </c>
      <c r="K239" s="1011" t="s">
        <v>262</v>
      </c>
      <c r="L239" s="1012" t="s">
        <v>419</v>
      </c>
      <c r="M239" s="1098" t="s">
        <v>2565</v>
      </c>
      <c r="N239" s="1098" t="s">
        <v>1315</v>
      </c>
      <c r="O239" s="1287" t="s">
        <v>4163</v>
      </c>
      <c r="P239" s="554" t="s">
        <v>350</v>
      </c>
      <c r="Q239" s="292"/>
      <c r="R239" s="170"/>
      <c r="S239" s="389"/>
      <c r="T239" s="501" t="s">
        <v>349</v>
      </c>
      <c r="U239" s="501" t="s">
        <v>2158</v>
      </c>
      <c r="W239" s="431" t="s">
        <v>1869</v>
      </c>
      <c r="X239" s="431" t="s">
        <v>3328</v>
      </c>
      <c r="Z239" s="431"/>
      <c r="AA239" s="26"/>
      <c r="AB239" s="26"/>
      <c r="AC239" s="931"/>
      <c r="AD239" s="512"/>
    </row>
    <row r="240" spans="2:30" ht="10.5" customHeight="1">
      <c r="B240" s="283"/>
      <c r="C240" s="379" t="s">
        <v>2147</v>
      </c>
      <c r="D240" s="444">
        <v>53200</v>
      </c>
      <c r="E240" s="283"/>
      <c r="F240" s="556"/>
      <c r="G240" s="1009" t="s">
        <v>329</v>
      </c>
      <c r="H240" s="1009" t="s">
        <v>1196</v>
      </c>
      <c r="I240" s="1010" t="s">
        <v>330</v>
      </c>
      <c r="J240" s="1010" t="s">
        <v>2578</v>
      </c>
      <c r="K240" s="1011" t="s">
        <v>263</v>
      </c>
      <c r="L240" s="1012" t="s">
        <v>419</v>
      </c>
      <c r="M240" s="1098" t="s">
        <v>2565</v>
      </c>
      <c r="N240" s="1098" t="s">
        <v>1305</v>
      </c>
      <c r="O240" s="1287" t="s">
        <v>4164</v>
      </c>
      <c r="P240" s="554" t="s">
        <v>352</v>
      </c>
      <c r="Q240" s="292"/>
      <c r="R240" s="170"/>
      <c r="S240" s="389"/>
      <c r="T240" s="501" t="s">
        <v>351</v>
      </c>
      <c r="U240" s="501" t="s">
        <v>940</v>
      </c>
      <c r="W240" s="431" t="s">
        <v>2216</v>
      </c>
      <c r="X240" s="431" t="s">
        <v>3328</v>
      </c>
      <c r="Z240" s="431"/>
      <c r="AA240" s="26"/>
      <c r="AB240" s="26"/>
      <c r="AC240" s="931"/>
      <c r="AD240" s="512"/>
    </row>
    <row r="241" spans="2:30" ht="10.5" customHeight="1">
      <c r="B241" s="283"/>
      <c r="C241" s="378" t="s">
        <v>2149</v>
      </c>
      <c r="D241" s="444">
        <v>29000</v>
      </c>
      <c r="E241" s="283"/>
      <c r="F241" s="556"/>
      <c r="G241" s="1009" t="s">
        <v>424</v>
      </c>
      <c r="H241" s="1009" t="s">
        <v>1196</v>
      </c>
      <c r="I241" s="1013" t="s">
        <v>1305</v>
      </c>
      <c r="J241" s="1013" t="s">
        <v>2579</v>
      </c>
      <c r="K241" s="1011" t="s">
        <v>2546</v>
      </c>
      <c r="L241" s="1012" t="s">
        <v>420</v>
      </c>
      <c r="M241" s="1097" t="s">
        <v>2565</v>
      </c>
      <c r="N241" s="1097" t="s">
        <v>1305</v>
      </c>
      <c r="O241" s="1287" t="s">
        <v>4165</v>
      </c>
      <c r="P241" s="554" t="s">
        <v>2260</v>
      </c>
      <c r="Q241" s="292"/>
      <c r="R241" s="170"/>
      <c r="S241" s="389"/>
      <c r="T241" s="501" t="s">
        <v>353</v>
      </c>
      <c r="U241" s="501" t="s">
        <v>1078</v>
      </c>
      <c r="W241" s="431" t="s">
        <v>416</v>
      </c>
      <c r="X241" s="431" t="s">
        <v>3328</v>
      </c>
      <c r="Z241" s="431"/>
      <c r="AA241" s="26"/>
      <c r="AB241" s="26"/>
      <c r="AC241" s="931"/>
      <c r="AD241" s="512"/>
    </row>
    <row r="242" spans="2:30" ht="10.5" customHeight="1">
      <c r="B242" s="283"/>
      <c r="C242" s="378" t="s">
        <v>2151</v>
      </c>
      <c r="D242" s="444">
        <v>41200</v>
      </c>
      <c r="E242" s="283"/>
      <c r="F242" s="556"/>
      <c r="G242" s="1009" t="s">
        <v>425</v>
      </c>
      <c r="H242" s="1009" t="s">
        <v>1296</v>
      </c>
      <c r="I242" s="1013" t="s">
        <v>756</v>
      </c>
      <c r="J242" s="1013" t="s">
        <v>2579</v>
      </c>
      <c r="K242" s="1011" t="s">
        <v>264</v>
      </c>
      <c r="L242" s="1012" t="s">
        <v>420</v>
      </c>
      <c r="M242" s="1097" t="s">
        <v>2565</v>
      </c>
      <c r="N242" s="1097" t="s">
        <v>1190</v>
      </c>
      <c r="O242" s="1287" t="s">
        <v>4166</v>
      </c>
      <c r="P242" s="554" t="s">
        <v>2262</v>
      </c>
      <c r="Q242" s="292"/>
      <c r="R242" s="170"/>
      <c r="S242" s="389"/>
      <c r="T242" s="501" t="s">
        <v>619</v>
      </c>
      <c r="U242" s="501" t="s">
        <v>1437</v>
      </c>
      <c r="W242" s="431" t="s">
        <v>2252</v>
      </c>
      <c r="X242" s="431" t="s">
        <v>3328</v>
      </c>
      <c r="Z242" s="431"/>
      <c r="AA242" s="26"/>
      <c r="AB242" s="26"/>
      <c r="AC242" s="931"/>
      <c r="AD242" s="512"/>
    </row>
    <row r="243" spans="2:30" ht="10.5" customHeight="1">
      <c r="B243" s="283"/>
      <c r="C243" s="379" t="s">
        <v>2153</v>
      </c>
      <c r="D243" s="444">
        <v>45700</v>
      </c>
      <c r="E243" s="283"/>
      <c r="F243" s="556"/>
      <c r="G243" s="1009" t="s">
        <v>1436</v>
      </c>
      <c r="H243" s="1009" t="s">
        <v>1196</v>
      </c>
      <c r="I243" s="1010" t="s">
        <v>1675</v>
      </c>
      <c r="J243" s="1010" t="s">
        <v>2579</v>
      </c>
      <c r="K243" s="1011" t="s">
        <v>2549</v>
      </c>
      <c r="L243" s="1012" t="s">
        <v>420</v>
      </c>
      <c r="M243" s="1097" t="s">
        <v>2565</v>
      </c>
      <c r="N243" s="1097" t="s">
        <v>1675</v>
      </c>
      <c r="O243" s="1287" t="s">
        <v>4167</v>
      </c>
      <c r="P243" s="554" t="s">
        <v>2263</v>
      </c>
      <c r="Q243" s="292"/>
      <c r="R243" s="170"/>
      <c r="S243" s="389"/>
      <c r="T243" s="501" t="s">
        <v>2261</v>
      </c>
      <c r="U243" s="501" t="s">
        <v>658</v>
      </c>
      <c r="W243" s="431" t="s">
        <v>3318</v>
      </c>
      <c r="X243" s="431" t="s">
        <v>3328</v>
      </c>
      <c r="Z243" s="431"/>
      <c r="AA243" s="26"/>
      <c r="AB243" s="26"/>
      <c r="AC243" s="931"/>
      <c r="AD243" s="512"/>
    </row>
    <row r="244" spans="2:30" ht="10.5" customHeight="1">
      <c r="B244" s="283"/>
      <c r="C244" s="379" t="s">
        <v>2155</v>
      </c>
      <c r="D244" s="444">
        <v>39200</v>
      </c>
      <c r="E244" s="283"/>
      <c r="F244" s="556"/>
      <c r="G244" s="1009" t="s">
        <v>1437</v>
      </c>
      <c r="H244" s="1009" t="s">
        <v>1296</v>
      </c>
      <c r="I244" s="1010" t="s">
        <v>1438</v>
      </c>
      <c r="J244" s="1010" t="s">
        <v>2578</v>
      </c>
      <c r="K244" s="1011" t="s">
        <v>265</v>
      </c>
      <c r="L244" s="1012" t="s">
        <v>419</v>
      </c>
      <c r="M244" s="1098" t="s">
        <v>2565</v>
      </c>
      <c r="N244" s="1098" t="s">
        <v>1305</v>
      </c>
      <c r="O244" s="1287" t="s">
        <v>4168</v>
      </c>
      <c r="P244" s="554" t="s">
        <v>2264</v>
      </c>
      <c r="Q244" s="292"/>
      <c r="R244" s="170"/>
      <c r="S244" s="389"/>
      <c r="T244" s="501" t="s">
        <v>1317</v>
      </c>
      <c r="U244" s="501" t="s">
        <v>656</v>
      </c>
      <c r="W244" s="431" t="s">
        <v>663</v>
      </c>
      <c r="X244" s="431" t="s">
        <v>3328</v>
      </c>
      <c r="Z244" s="431"/>
      <c r="AA244" s="26"/>
      <c r="AB244" s="26"/>
      <c r="AC244" s="931"/>
      <c r="AD244" s="512"/>
    </row>
    <row r="245" spans="2:30" ht="10.5" customHeight="1">
      <c r="B245" s="283"/>
      <c r="C245" s="379" t="s">
        <v>2157</v>
      </c>
      <c r="D245" s="444">
        <v>46300</v>
      </c>
      <c r="E245" s="283"/>
      <c r="F245" s="556"/>
      <c r="G245" s="1009" t="s">
        <v>1439</v>
      </c>
      <c r="H245" s="1009" t="s">
        <v>1196</v>
      </c>
      <c r="I245" s="1013" t="s">
        <v>1760</v>
      </c>
      <c r="J245" s="1013" t="s">
        <v>2579</v>
      </c>
      <c r="K245" s="1011" t="s">
        <v>1148</v>
      </c>
      <c r="L245" s="1012" t="s">
        <v>420</v>
      </c>
      <c r="M245" s="1097" t="s">
        <v>2565</v>
      </c>
      <c r="N245" s="1097" t="s">
        <v>1760</v>
      </c>
      <c r="O245" s="1287" t="s">
        <v>4169</v>
      </c>
      <c r="P245" s="554" t="s">
        <v>1540</v>
      </c>
      <c r="Q245" s="292"/>
      <c r="R245" s="170"/>
      <c r="S245" s="389"/>
      <c r="T245" s="501" t="s">
        <v>2794</v>
      </c>
      <c r="U245" s="501" t="s">
        <v>658</v>
      </c>
      <c r="W245" s="431" t="s">
        <v>2357</v>
      </c>
      <c r="X245" s="431" t="s">
        <v>3328</v>
      </c>
      <c r="Z245" s="431"/>
      <c r="AA245" s="26"/>
      <c r="AB245" s="26"/>
      <c r="AC245" s="931"/>
      <c r="AD245" s="512"/>
    </row>
    <row r="246" spans="2:30" ht="10.5" customHeight="1">
      <c r="B246" s="283"/>
      <c r="C246" s="379" t="s">
        <v>857</v>
      </c>
      <c r="D246" s="444">
        <v>37300</v>
      </c>
      <c r="E246" s="283"/>
      <c r="F246" s="556"/>
      <c r="G246" s="1009" t="s">
        <v>1440</v>
      </c>
      <c r="H246" s="1009" t="s">
        <v>1196</v>
      </c>
      <c r="I246" s="1010" t="s">
        <v>757</v>
      </c>
      <c r="J246" s="1010" t="s">
        <v>2579</v>
      </c>
      <c r="K246" s="1011" t="s">
        <v>266</v>
      </c>
      <c r="L246" s="1012" t="s">
        <v>420</v>
      </c>
      <c r="M246" s="1098" t="s">
        <v>1181</v>
      </c>
      <c r="N246" s="1098" t="s">
        <v>1311</v>
      </c>
      <c r="O246" s="1287" t="s">
        <v>4170</v>
      </c>
      <c r="P246" s="554" t="s">
        <v>1542</v>
      </c>
      <c r="Q246" s="292"/>
      <c r="R246" s="170"/>
      <c r="S246" s="389"/>
      <c r="T246" s="501" t="s">
        <v>2265</v>
      </c>
      <c r="U246" s="501" t="s">
        <v>102</v>
      </c>
      <c r="W246" s="431" t="s">
        <v>217</v>
      </c>
      <c r="X246" s="431" t="s">
        <v>3328</v>
      </c>
      <c r="Z246" s="431"/>
      <c r="AA246" s="26"/>
      <c r="AB246" s="26"/>
      <c r="AC246" s="931"/>
      <c r="AD246" s="512"/>
    </row>
    <row r="247" spans="2:30" ht="10.5" customHeight="1">
      <c r="B247" s="283"/>
      <c r="C247" s="379" t="s">
        <v>859</v>
      </c>
      <c r="D247" s="444">
        <v>32200</v>
      </c>
      <c r="E247" s="283"/>
      <c r="F247" s="556"/>
      <c r="G247" s="1009" t="s">
        <v>1441</v>
      </c>
      <c r="H247" s="1009" t="s">
        <v>1296</v>
      </c>
      <c r="I247" s="1010" t="s">
        <v>1442</v>
      </c>
      <c r="J247" s="1010" t="s">
        <v>2579</v>
      </c>
      <c r="K247" s="1011" t="s">
        <v>3634</v>
      </c>
      <c r="L247" s="1012" t="s">
        <v>420</v>
      </c>
      <c r="M247" s="1098" t="s">
        <v>2565</v>
      </c>
      <c r="N247" s="1098" t="s">
        <v>1315</v>
      </c>
      <c r="O247" s="1287" t="s">
        <v>4171</v>
      </c>
      <c r="P247" s="554" t="s">
        <v>1544</v>
      </c>
      <c r="Q247" s="292"/>
      <c r="R247" s="170"/>
      <c r="S247" s="389"/>
      <c r="T247" s="501" t="s">
        <v>1541</v>
      </c>
      <c r="U247" s="501" t="s">
        <v>1614</v>
      </c>
      <c r="W247" s="431" t="s">
        <v>648</v>
      </c>
      <c r="X247" s="431" t="s">
        <v>3328</v>
      </c>
      <c r="Z247" s="431"/>
      <c r="AA247" s="26"/>
      <c r="AB247" s="26"/>
      <c r="AC247" s="931"/>
      <c r="AD247" s="512"/>
    </row>
    <row r="248" spans="2:30" ht="10.5" customHeight="1">
      <c r="B248" s="283"/>
      <c r="C248" s="379" t="s">
        <v>1648</v>
      </c>
      <c r="D248" s="444">
        <v>47300</v>
      </c>
      <c r="E248" s="283"/>
      <c r="F248" s="556"/>
      <c r="G248" s="1009" t="s">
        <v>1443</v>
      </c>
      <c r="H248" s="1009" t="s">
        <v>1196</v>
      </c>
      <c r="I248" s="1010" t="s">
        <v>1444</v>
      </c>
      <c r="J248" s="1010" t="s">
        <v>2579</v>
      </c>
      <c r="K248" s="1011" t="s">
        <v>682</v>
      </c>
      <c r="L248" s="1012" t="s">
        <v>420</v>
      </c>
      <c r="M248" s="1097" t="s">
        <v>2565</v>
      </c>
      <c r="N248" s="1097" t="s">
        <v>1311</v>
      </c>
      <c r="O248" s="1287" t="s">
        <v>4172</v>
      </c>
      <c r="P248" s="554" t="s">
        <v>1546</v>
      </c>
      <c r="Q248" s="292"/>
      <c r="R248" s="170"/>
      <c r="S248" s="389"/>
      <c r="T248" s="501" t="s">
        <v>2531</v>
      </c>
      <c r="U248" s="501" t="s">
        <v>617</v>
      </c>
      <c r="W248" s="431" t="s">
        <v>231</v>
      </c>
      <c r="X248" s="431" t="s">
        <v>3328</v>
      </c>
      <c r="Z248" s="431"/>
      <c r="AA248" s="26"/>
      <c r="AB248" s="26"/>
      <c r="AC248" s="931"/>
      <c r="AD248" s="512"/>
    </row>
    <row r="249" spans="2:30" ht="10.5" customHeight="1">
      <c r="B249" s="283"/>
      <c r="C249" s="379" t="s">
        <v>1882</v>
      </c>
      <c r="D249" s="444">
        <v>49900</v>
      </c>
      <c r="E249" s="283"/>
      <c r="F249" s="556"/>
      <c r="G249" s="1009" t="s">
        <v>173</v>
      </c>
      <c r="H249" s="1009" t="s">
        <v>1196</v>
      </c>
      <c r="I249" s="1010" t="s">
        <v>1675</v>
      </c>
      <c r="J249" s="1010" t="s">
        <v>2579</v>
      </c>
      <c r="K249" s="1011" t="s">
        <v>2549</v>
      </c>
      <c r="L249" s="1012" t="s">
        <v>420</v>
      </c>
      <c r="M249" s="1098" t="s">
        <v>1181</v>
      </c>
      <c r="N249" s="1098" t="s">
        <v>1675</v>
      </c>
      <c r="O249" s="1287" t="s">
        <v>4173</v>
      </c>
      <c r="P249" s="554" t="s">
        <v>1548</v>
      </c>
      <c r="Q249" s="292"/>
      <c r="R249" s="170"/>
      <c r="S249" s="389"/>
      <c r="T249" s="501" t="s">
        <v>1543</v>
      </c>
      <c r="U249" s="501" t="s">
        <v>649</v>
      </c>
      <c r="W249" s="431" t="s">
        <v>649</v>
      </c>
      <c r="X249" s="431" t="s">
        <v>3328</v>
      </c>
      <c r="Z249" s="431"/>
      <c r="AA249" s="26"/>
      <c r="AB249" s="26"/>
      <c r="AC249" s="931"/>
      <c r="AD249" s="512"/>
    </row>
    <row r="250" spans="2:30" ht="10.5" customHeight="1">
      <c r="B250" s="283"/>
      <c r="C250" s="378" t="s">
        <v>1884</v>
      </c>
      <c r="D250" s="444">
        <v>48700</v>
      </c>
      <c r="E250" s="283"/>
      <c r="F250" s="556"/>
      <c r="G250" s="1009" t="s">
        <v>174</v>
      </c>
      <c r="H250" s="1009" t="s">
        <v>1296</v>
      </c>
      <c r="I250" s="1013" t="s">
        <v>175</v>
      </c>
      <c r="J250" s="1013" t="s">
        <v>2578</v>
      </c>
      <c r="K250" s="1011" t="s">
        <v>683</v>
      </c>
      <c r="L250" s="1012" t="s">
        <v>419</v>
      </c>
      <c r="M250" s="1098" t="s">
        <v>2565</v>
      </c>
      <c r="N250" s="1098" t="s">
        <v>1190</v>
      </c>
      <c r="O250" s="1287" t="s">
        <v>4174</v>
      </c>
      <c r="P250" s="554" t="s">
        <v>1721</v>
      </c>
      <c r="Q250" s="292"/>
      <c r="R250" s="170"/>
      <c r="S250" s="389"/>
      <c r="T250" s="501" t="s">
        <v>2795</v>
      </c>
      <c r="U250" s="501" t="s">
        <v>2214</v>
      </c>
      <c r="W250" s="431" t="s">
        <v>775</v>
      </c>
      <c r="X250" s="431" t="s">
        <v>3328</v>
      </c>
      <c r="Z250" s="431"/>
      <c r="AA250" s="26"/>
      <c r="AB250" s="26"/>
      <c r="AC250" s="931"/>
      <c r="AD250" s="512"/>
    </row>
    <row r="251" spans="2:30" ht="10.5" customHeight="1">
      <c r="B251" s="283"/>
      <c r="C251" s="378" t="s">
        <v>1886</v>
      </c>
      <c r="D251" s="444">
        <v>50200</v>
      </c>
      <c r="E251" s="283"/>
      <c r="F251" s="556"/>
      <c r="G251" s="1009" t="s">
        <v>1305</v>
      </c>
      <c r="H251" s="1009" t="s">
        <v>1196</v>
      </c>
      <c r="I251" s="1010" t="s">
        <v>176</v>
      </c>
      <c r="J251" s="1010" t="s">
        <v>2578</v>
      </c>
      <c r="K251" s="1011" t="s">
        <v>684</v>
      </c>
      <c r="L251" s="1012" t="s">
        <v>419</v>
      </c>
      <c r="M251" s="1098" t="s">
        <v>2565</v>
      </c>
      <c r="N251" s="1098" t="s">
        <v>1305</v>
      </c>
      <c r="O251" s="1287" t="s">
        <v>4175</v>
      </c>
      <c r="P251" s="554" t="s">
        <v>1723</v>
      </c>
      <c r="Q251" s="292"/>
      <c r="R251" s="170"/>
      <c r="S251" s="389"/>
      <c r="T251" s="501" t="s">
        <v>1545</v>
      </c>
      <c r="U251" s="501" t="s">
        <v>162</v>
      </c>
      <c r="W251" s="431" t="s">
        <v>3319</v>
      </c>
      <c r="X251" s="431" t="s">
        <v>3328</v>
      </c>
      <c r="Z251" s="431"/>
      <c r="AA251" s="26"/>
      <c r="AB251" s="26"/>
      <c r="AC251" s="931"/>
      <c r="AD251" s="512"/>
    </row>
    <row r="252" spans="2:30" ht="10.5" customHeight="1">
      <c r="B252" s="283"/>
      <c r="C252" s="378" t="s">
        <v>1888</v>
      </c>
      <c r="D252" s="444">
        <v>55400</v>
      </c>
      <c r="E252" s="283"/>
      <c r="F252" s="556"/>
      <c r="G252" s="1009" t="s">
        <v>177</v>
      </c>
      <c r="H252" s="1009" t="s">
        <v>1296</v>
      </c>
      <c r="I252" s="1010" t="s">
        <v>2017</v>
      </c>
      <c r="J252" s="1010" t="s">
        <v>2579</v>
      </c>
      <c r="K252" s="1011" t="s">
        <v>609</v>
      </c>
      <c r="L252" s="1012" t="s">
        <v>420</v>
      </c>
      <c r="M252" s="1097" t="s">
        <v>2565</v>
      </c>
      <c r="N252" s="1097" t="s">
        <v>164</v>
      </c>
      <c r="O252" s="1287" t="s">
        <v>4176</v>
      </c>
      <c r="P252" s="554" t="s">
        <v>1725</v>
      </c>
      <c r="Q252" s="292"/>
      <c r="R252" s="170"/>
      <c r="S252" s="389"/>
      <c r="T252" s="501" t="s">
        <v>1547</v>
      </c>
      <c r="U252" s="501" t="s">
        <v>1298</v>
      </c>
      <c r="W252" s="431" t="s">
        <v>3320</v>
      </c>
      <c r="X252" s="431" t="s">
        <v>3328</v>
      </c>
      <c r="Z252" s="431"/>
      <c r="AA252" s="26"/>
      <c r="AB252" s="26"/>
      <c r="AC252" s="931"/>
      <c r="AD252" s="512"/>
    </row>
    <row r="253" spans="2:30" ht="10.5" customHeight="1">
      <c r="B253" s="283"/>
      <c r="C253" s="378" t="s">
        <v>1890</v>
      </c>
      <c r="D253" s="444">
        <v>50500</v>
      </c>
      <c r="E253" s="283"/>
      <c r="F253" s="556"/>
      <c r="G253" s="1009" t="s">
        <v>354</v>
      </c>
      <c r="H253" s="1009" t="s">
        <v>1196</v>
      </c>
      <c r="I253" s="1013" t="s">
        <v>159</v>
      </c>
      <c r="J253" s="1013" t="s">
        <v>2579</v>
      </c>
      <c r="K253" s="1011" t="s">
        <v>1661</v>
      </c>
      <c r="L253" s="1012" t="s">
        <v>420</v>
      </c>
      <c r="M253" s="1097" t="s">
        <v>2565</v>
      </c>
      <c r="N253" s="1097" t="s">
        <v>159</v>
      </c>
      <c r="O253" s="1287" t="s">
        <v>4177</v>
      </c>
      <c r="P253" s="554" t="s">
        <v>1010</v>
      </c>
      <c r="Q253" s="292"/>
      <c r="R253" s="170"/>
      <c r="S253" s="389"/>
      <c r="T253" s="501" t="s">
        <v>1549</v>
      </c>
      <c r="U253" s="501" t="s">
        <v>177</v>
      </c>
      <c r="W253" s="431" t="s">
        <v>1206</v>
      </c>
      <c r="X253" s="431" t="s">
        <v>3328</v>
      </c>
      <c r="Z253" s="431"/>
      <c r="AA253" s="26"/>
      <c r="AB253" s="26"/>
      <c r="AC253" s="931"/>
      <c r="AD253" s="512"/>
    </row>
    <row r="254" spans="2:30" ht="10.5" customHeight="1">
      <c r="B254" s="283"/>
      <c r="C254" s="378" t="s">
        <v>1892</v>
      </c>
      <c r="D254" s="444">
        <v>40200</v>
      </c>
      <c r="E254" s="283"/>
      <c r="F254" s="556"/>
      <c r="G254" s="1009" t="s">
        <v>1850</v>
      </c>
      <c r="H254" s="1009" t="s">
        <v>1296</v>
      </c>
      <c r="I254" s="1013" t="s">
        <v>754</v>
      </c>
      <c r="J254" s="1013" t="s">
        <v>2579</v>
      </c>
      <c r="K254" s="1011" t="s">
        <v>2564</v>
      </c>
      <c r="L254" s="1012" t="s">
        <v>420</v>
      </c>
      <c r="M254" s="1097" t="s">
        <v>2565</v>
      </c>
      <c r="N254" s="1097" t="s">
        <v>1315</v>
      </c>
      <c r="O254" s="1287" t="s">
        <v>4178</v>
      </c>
      <c r="P254" s="554" t="s">
        <v>1011</v>
      </c>
      <c r="Q254" s="292"/>
      <c r="R254" s="170"/>
      <c r="S254" s="389"/>
      <c r="T254" s="501" t="s">
        <v>1722</v>
      </c>
      <c r="U254" s="501" t="s">
        <v>649</v>
      </c>
      <c r="W254" s="431" t="s">
        <v>669</v>
      </c>
      <c r="X254" s="431" t="s">
        <v>3328</v>
      </c>
      <c r="Z254" s="431"/>
      <c r="AA254" s="26"/>
      <c r="AB254" s="26"/>
      <c r="AC254" s="931"/>
      <c r="AD254" s="512"/>
    </row>
    <row r="255" spans="2:30" ht="10.5" customHeight="1">
      <c r="B255" s="283"/>
      <c r="C255" s="379" t="s">
        <v>1895</v>
      </c>
      <c r="D255" s="444">
        <v>53000</v>
      </c>
      <c r="E255" s="283"/>
      <c r="F255" s="556"/>
      <c r="G255" s="1009" t="s">
        <v>1851</v>
      </c>
      <c r="H255" s="1009" t="s">
        <v>1196</v>
      </c>
      <c r="I255" s="1010" t="s">
        <v>9</v>
      </c>
      <c r="J255" s="1010" t="s">
        <v>2579</v>
      </c>
      <c r="K255" s="1011" t="s">
        <v>2548</v>
      </c>
      <c r="L255" s="1012" t="s">
        <v>420</v>
      </c>
      <c r="M255" s="1097" t="s">
        <v>2565</v>
      </c>
      <c r="N255" s="1097" t="s">
        <v>1311</v>
      </c>
      <c r="O255" s="1287" t="s">
        <v>4179</v>
      </c>
      <c r="P255" s="554" t="s">
        <v>233</v>
      </c>
      <c r="Q255" s="292"/>
      <c r="R255" s="170"/>
      <c r="S255" s="389"/>
      <c r="T255" s="501" t="s">
        <v>1724</v>
      </c>
      <c r="U255" s="501" t="s">
        <v>722</v>
      </c>
      <c r="W255" s="431" t="s">
        <v>656</v>
      </c>
      <c r="X255" s="431" t="s">
        <v>3328</v>
      </c>
      <c r="Z255" s="431"/>
      <c r="AA255" s="26"/>
      <c r="AB255" s="26"/>
      <c r="AC255" s="931"/>
      <c r="AD255" s="512"/>
    </row>
    <row r="256" spans="2:30" ht="10.5" customHeight="1">
      <c r="B256" s="283"/>
      <c r="C256" s="378" t="s">
        <v>1980</v>
      </c>
      <c r="D256" s="444">
        <v>48700</v>
      </c>
      <c r="E256" s="283"/>
      <c r="F256" s="556"/>
      <c r="G256" s="1009" t="s">
        <v>1852</v>
      </c>
      <c r="H256" s="1009" t="s">
        <v>1196</v>
      </c>
      <c r="I256" s="1013" t="s">
        <v>758</v>
      </c>
      <c r="J256" s="1013" t="s">
        <v>2579</v>
      </c>
      <c r="K256" s="1011" t="s">
        <v>685</v>
      </c>
      <c r="L256" s="1012" t="s">
        <v>420</v>
      </c>
      <c r="M256" s="1097" t="s">
        <v>2565</v>
      </c>
      <c r="N256" s="1097" t="s">
        <v>1190</v>
      </c>
      <c r="O256" s="1287" t="s">
        <v>4180</v>
      </c>
      <c r="P256" s="554" t="s">
        <v>235</v>
      </c>
      <c r="Q256" s="292"/>
      <c r="R256" s="170"/>
      <c r="S256" s="389"/>
      <c r="T256" s="501" t="s">
        <v>1009</v>
      </c>
      <c r="U256" s="501" t="s">
        <v>1299</v>
      </c>
      <c r="W256" s="431" t="s">
        <v>968</v>
      </c>
      <c r="X256" s="431" t="s">
        <v>3328</v>
      </c>
      <c r="Z256" s="431"/>
      <c r="AA256" s="26"/>
      <c r="AB256" s="26"/>
      <c r="AC256" s="931"/>
      <c r="AD256" s="512"/>
    </row>
    <row r="257" spans="2:30" ht="10.5" customHeight="1">
      <c r="B257" s="283"/>
      <c r="C257" s="378" t="s">
        <v>1675</v>
      </c>
      <c r="D257" s="444">
        <v>49500</v>
      </c>
      <c r="E257" s="283"/>
      <c r="F257" s="556"/>
      <c r="G257" s="1009" t="s">
        <v>1612</v>
      </c>
      <c r="H257" s="1009" t="s">
        <v>1196</v>
      </c>
      <c r="I257" s="1010" t="s">
        <v>1613</v>
      </c>
      <c r="J257" s="1010" t="s">
        <v>2578</v>
      </c>
      <c r="K257" s="1011" t="s">
        <v>686</v>
      </c>
      <c r="L257" s="1012" t="s">
        <v>419</v>
      </c>
      <c r="M257" s="1098" t="s">
        <v>2565</v>
      </c>
      <c r="N257" s="1098" t="s">
        <v>1760</v>
      </c>
      <c r="O257" s="1287" t="s">
        <v>4181</v>
      </c>
      <c r="P257" s="554" t="s">
        <v>1248</v>
      </c>
      <c r="Q257" s="292"/>
      <c r="R257" s="170"/>
      <c r="S257" s="389"/>
      <c r="T257" s="501" t="s">
        <v>1012</v>
      </c>
      <c r="U257" s="501" t="s">
        <v>647</v>
      </c>
      <c r="W257" s="431" t="s">
        <v>972</v>
      </c>
      <c r="X257" s="431" t="s">
        <v>3328</v>
      </c>
      <c r="Z257" s="431"/>
      <c r="AA257" s="26"/>
      <c r="AB257" s="26"/>
      <c r="AC257" s="931"/>
      <c r="AD257" s="512"/>
    </row>
    <row r="258" spans="2:30" ht="10.5" customHeight="1">
      <c r="B258" s="283"/>
      <c r="C258" s="379" t="s">
        <v>101</v>
      </c>
      <c r="D258" s="444">
        <v>45300</v>
      </c>
      <c r="E258" s="283"/>
      <c r="F258" s="556"/>
      <c r="G258" s="1009" t="s">
        <v>1614</v>
      </c>
      <c r="H258" s="1009" t="s">
        <v>1196</v>
      </c>
      <c r="I258" s="1010" t="s">
        <v>1615</v>
      </c>
      <c r="J258" s="1010" t="s">
        <v>2578</v>
      </c>
      <c r="K258" s="1011" t="s">
        <v>687</v>
      </c>
      <c r="L258" s="1012" t="s">
        <v>419</v>
      </c>
      <c r="M258" s="1098" t="s">
        <v>2565</v>
      </c>
      <c r="N258" s="1098" t="s">
        <v>1760</v>
      </c>
      <c r="O258" s="1287" t="s">
        <v>4182</v>
      </c>
      <c r="P258" s="554" t="s">
        <v>2033</v>
      </c>
      <c r="Q258" s="292"/>
      <c r="R258" s="170"/>
      <c r="S258" s="389"/>
      <c r="T258" s="501" t="s">
        <v>234</v>
      </c>
      <c r="U258" s="501" t="s">
        <v>2496</v>
      </c>
      <c r="W258" s="431" t="s">
        <v>974</v>
      </c>
      <c r="X258" s="431" t="s">
        <v>3328</v>
      </c>
      <c r="Z258" s="431"/>
      <c r="AA258" s="26"/>
      <c r="AB258" s="26"/>
      <c r="AC258" s="931"/>
      <c r="AD258" s="512"/>
    </row>
    <row r="259" spans="2:30" ht="10.5" customHeight="1">
      <c r="B259" s="283"/>
      <c r="C259" s="378" t="s">
        <v>1688</v>
      </c>
      <c r="D259" s="444">
        <v>67000</v>
      </c>
      <c r="E259" s="283"/>
      <c r="F259" s="556"/>
      <c r="G259" s="1009" t="s">
        <v>1616</v>
      </c>
      <c r="H259" s="1009" t="s">
        <v>1296</v>
      </c>
      <c r="I259" s="1013" t="s">
        <v>2016</v>
      </c>
      <c r="J259" s="1013" t="s">
        <v>2579</v>
      </c>
      <c r="K259" s="1011" t="s">
        <v>688</v>
      </c>
      <c r="L259" s="1012" t="s">
        <v>420</v>
      </c>
      <c r="M259" s="1097" t="s">
        <v>2565</v>
      </c>
      <c r="N259" s="1097" t="s">
        <v>1190</v>
      </c>
      <c r="O259" s="1287" t="s">
        <v>4183</v>
      </c>
      <c r="P259" s="554" t="s">
        <v>2035</v>
      </c>
      <c r="Q259" s="292"/>
      <c r="R259" s="170"/>
      <c r="S259" s="389"/>
      <c r="T259" s="501" t="s">
        <v>2796</v>
      </c>
      <c r="U259" s="501" t="s">
        <v>861</v>
      </c>
      <c r="W259" s="431" t="s">
        <v>564</v>
      </c>
      <c r="X259" s="431" t="s">
        <v>3328</v>
      </c>
      <c r="Z259" s="431"/>
      <c r="AA259" s="26"/>
      <c r="AB259" s="26"/>
      <c r="AC259" s="931"/>
      <c r="AD259" s="512"/>
    </row>
    <row r="260" spans="2:30" ht="10.5" customHeight="1">
      <c r="B260" s="283"/>
      <c r="C260" s="378" t="s">
        <v>103</v>
      </c>
      <c r="D260" s="444">
        <v>39700</v>
      </c>
      <c r="F260" s="556"/>
      <c r="G260" s="1009" t="s">
        <v>182</v>
      </c>
      <c r="H260" s="1009" t="s">
        <v>1196</v>
      </c>
      <c r="I260" s="1010" t="s">
        <v>183</v>
      </c>
      <c r="J260" s="1010" t="s">
        <v>2578</v>
      </c>
      <c r="K260" s="1011" t="s">
        <v>689</v>
      </c>
      <c r="L260" s="1012" t="s">
        <v>419</v>
      </c>
      <c r="M260" s="1098" t="s">
        <v>2565</v>
      </c>
      <c r="N260" s="1098" t="s">
        <v>1311</v>
      </c>
      <c r="O260" s="1287" t="s">
        <v>4184</v>
      </c>
      <c r="P260" s="554" t="s">
        <v>2037</v>
      </c>
      <c r="Q260" s="292"/>
      <c r="R260" s="170"/>
      <c r="S260" s="389"/>
      <c r="T260" s="555" t="s">
        <v>1736</v>
      </c>
      <c r="U260" s="555" t="s">
        <v>1084</v>
      </c>
      <c r="W260" s="431" t="s">
        <v>369</v>
      </c>
      <c r="X260" s="431" t="s">
        <v>3328</v>
      </c>
      <c r="Z260" s="431"/>
      <c r="AA260" s="26"/>
      <c r="AB260" s="26"/>
      <c r="AC260" s="931"/>
      <c r="AD260" s="512"/>
    </row>
    <row r="261" spans="2:30" ht="10.5" customHeight="1">
      <c r="B261" s="283"/>
      <c r="C261" s="378" t="s">
        <v>105</v>
      </c>
      <c r="D261" s="444">
        <v>49600</v>
      </c>
      <c r="F261" s="556"/>
      <c r="G261" s="1009" t="s">
        <v>2550</v>
      </c>
      <c r="H261" s="1009" t="s">
        <v>1296</v>
      </c>
      <c r="I261" s="1013" t="s">
        <v>2551</v>
      </c>
      <c r="J261" s="1010" t="s">
        <v>2579</v>
      </c>
      <c r="K261" s="1011" t="s">
        <v>3633</v>
      </c>
      <c r="L261" s="1012" t="s">
        <v>420</v>
      </c>
      <c r="M261" s="1098" t="s">
        <v>2565</v>
      </c>
      <c r="N261" s="1098" t="s">
        <v>1190</v>
      </c>
      <c r="O261" s="1287" t="s">
        <v>4185</v>
      </c>
      <c r="P261" s="554" t="s">
        <v>2039</v>
      </c>
      <c r="Q261" s="292"/>
      <c r="R261" s="170"/>
      <c r="S261" s="389"/>
      <c r="T261" s="501" t="s">
        <v>2034</v>
      </c>
      <c r="U261" s="501" t="s">
        <v>317</v>
      </c>
      <c r="W261" s="431" t="s">
        <v>1576</v>
      </c>
      <c r="X261" s="431" t="s">
        <v>3328</v>
      </c>
      <c r="Z261" s="431"/>
      <c r="AA261" s="26"/>
      <c r="AB261" s="26"/>
      <c r="AC261" s="932"/>
      <c r="AD261" s="512"/>
    </row>
    <row r="262" spans="2:30" ht="10.5" customHeight="1">
      <c r="B262" s="283"/>
      <c r="C262" s="378" t="s">
        <v>107</v>
      </c>
      <c r="D262" s="444">
        <v>51300</v>
      </c>
      <c r="F262" s="556"/>
      <c r="G262" s="1009" t="s">
        <v>2552</v>
      </c>
      <c r="H262" s="1009" t="s">
        <v>1296</v>
      </c>
      <c r="I262" s="1010" t="s">
        <v>2553</v>
      </c>
      <c r="J262" s="1010" t="s">
        <v>2579</v>
      </c>
      <c r="K262" s="1011" t="s">
        <v>1926</v>
      </c>
      <c r="L262" s="1012" t="s">
        <v>420</v>
      </c>
      <c r="M262" s="1097" t="s">
        <v>2565</v>
      </c>
      <c r="N262" s="1097" t="s">
        <v>1190</v>
      </c>
      <c r="O262" s="1287" t="s">
        <v>4186</v>
      </c>
      <c r="P262" s="554" t="s">
        <v>2041</v>
      </c>
      <c r="Q262" s="292"/>
      <c r="R262" s="170"/>
      <c r="S262" s="389"/>
      <c r="T262" s="501" t="s">
        <v>2036</v>
      </c>
      <c r="U262" s="501" t="s">
        <v>315</v>
      </c>
      <c r="W262" s="431" t="s">
        <v>996</v>
      </c>
      <c r="X262" s="431" t="s">
        <v>3328</v>
      </c>
      <c r="Z262" s="431"/>
      <c r="AA262" s="26"/>
      <c r="AB262" s="26"/>
      <c r="AC262" s="931"/>
      <c r="AD262" s="512"/>
    </row>
    <row r="263" spans="2:30" ht="10.5" customHeight="1">
      <c r="B263" s="283"/>
      <c r="C263" s="378" t="s">
        <v>109</v>
      </c>
      <c r="D263" s="444">
        <v>51500</v>
      </c>
      <c r="F263" s="556"/>
      <c r="G263" s="1009" t="s">
        <v>2554</v>
      </c>
      <c r="H263" s="1009" t="s">
        <v>1774</v>
      </c>
      <c r="I263" s="1013" t="s">
        <v>159</v>
      </c>
      <c r="J263" s="1013" t="s">
        <v>2579</v>
      </c>
      <c r="K263" s="1011" t="s">
        <v>1661</v>
      </c>
      <c r="L263" s="1012" t="s">
        <v>420</v>
      </c>
      <c r="M263" s="1098" t="s">
        <v>1181</v>
      </c>
      <c r="N263" s="1098" t="s">
        <v>159</v>
      </c>
      <c r="O263" s="1287" t="s">
        <v>4187</v>
      </c>
      <c r="P263" s="554" t="s">
        <v>2043</v>
      </c>
      <c r="Q263" s="292"/>
      <c r="R263" s="170"/>
      <c r="S263" s="389"/>
      <c r="T263" s="501" t="s">
        <v>2038</v>
      </c>
      <c r="U263" s="501" t="s">
        <v>617</v>
      </c>
      <c r="W263" s="431" t="s">
        <v>998</v>
      </c>
      <c r="X263" s="431" t="s">
        <v>3328</v>
      </c>
      <c r="Z263" s="431"/>
      <c r="AA263" s="26"/>
      <c r="AB263" s="26"/>
      <c r="AC263" s="931"/>
      <c r="AD263" s="512"/>
    </row>
    <row r="264" spans="2:30" ht="10.5" customHeight="1">
      <c r="B264" s="283"/>
      <c r="C264" s="378" t="s">
        <v>111</v>
      </c>
      <c r="D264" s="444">
        <v>34600</v>
      </c>
      <c r="F264" s="556"/>
      <c r="G264" s="1009" t="s">
        <v>2555</v>
      </c>
      <c r="H264" s="1009" t="s">
        <v>1296</v>
      </c>
      <c r="I264" s="1013" t="s">
        <v>753</v>
      </c>
      <c r="J264" s="1013" t="s">
        <v>2579</v>
      </c>
      <c r="K264" s="1011" t="s">
        <v>2543</v>
      </c>
      <c r="L264" s="1012" t="s">
        <v>420</v>
      </c>
      <c r="M264" s="1097" t="s">
        <v>1181</v>
      </c>
      <c r="N264" s="1097" t="s">
        <v>1190</v>
      </c>
      <c r="O264" s="1287" t="s">
        <v>4188</v>
      </c>
      <c r="P264" s="554" t="s">
        <v>664</v>
      </c>
      <c r="Q264" s="292"/>
      <c r="R264" s="170"/>
      <c r="S264" s="389"/>
      <c r="T264" s="501" t="s">
        <v>2040</v>
      </c>
      <c r="U264" s="501" t="s">
        <v>2552</v>
      </c>
      <c r="W264" s="431" t="s">
        <v>1658</v>
      </c>
      <c r="X264" s="431" t="s">
        <v>3328</v>
      </c>
      <c r="Z264" s="431"/>
      <c r="AA264" s="26"/>
      <c r="AB264" s="26"/>
      <c r="AC264" s="931"/>
      <c r="AD264" s="512"/>
    </row>
    <row r="265" spans="2:30" ht="10.5" customHeight="1">
      <c r="B265" s="283"/>
      <c r="C265" s="378" t="s">
        <v>113</v>
      </c>
      <c r="D265" s="444">
        <v>50500</v>
      </c>
      <c r="F265" s="556"/>
      <c r="G265" s="1009" t="s">
        <v>2556</v>
      </c>
      <c r="H265" s="1009" t="s">
        <v>1296</v>
      </c>
      <c r="I265" s="1010" t="s">
        <v>2017</v>
      </c>
      <c r="J265" s="1010" t="s">
        <v>2579</v>
      </c>
      <c r="K265" s="1011" t="s">
        <v>609</v>
      </c>
      <c r="L265" s="1012" t="s">
        <v>420</v>
      </c>
      <c r="M265" s="1097" t="s">
        <v>2565</v>
      </c>
      <c r="N265" s="1097" t="s">
        <v>164</v>
      </c>
      <c r="O265" s="1287" t="s">
        <v>4189</v>
      </c>
      <c r="P265" s="554" t="s">
        <v>2299</v>
      </c>
      <c r="Q265" s="292"/>
      <c r="R265" s="170"/>
      <c r="S265" s="389"/>
      <c r="T265" s="501" t="s">
        <v>4407</v>
      </c>
      <c r="U265" s="501" t="s">
        <v>1191</v>
      </c>
      <c r="W265" s="431" t="s">
        <v>854</v>
      </c>
      <c r="X265" s="431" t="s">
        <v>3328</v>
      </c>
      <c r="Z265" s="431"/>
      <c r="AA265" s="26"/>
      <c r="AB265" s="26"/>
      <c r="AC265" s="931"/>
      <c r="AD265" s="512"/>
    </row>
    <row r="266" spans="2:30" ht="10.5" customHeight="1">
      <c r="B266" s="283"/>
      <c r="C266" s="378" t="s">
        <v>2365</v>
      </c>
      <c r="D266" s="444">
        <v>43700</v>
      </c>
      <c r="F266" s="556"/>
      <c r="G266" s="1009" t="s">
        <v>2557</v>
      </c>
      <c r="H266" s="1009" t="s">
        <v>1296</v>
      </c>
      <c r="I266" s="1010" t="s">
        <v>2017</v>
      </c>
      <c r="J266" s="1010" t="s">
        <v>2579</v>
      </c>
      <c r="K266" s="1011" t="s">
        <v>609</v>
      </c>
      <c r="L266" s="1012" t="s">
        <v>420</v>
      </c>
      <c r="M266" s="1097" t="s">
        <v>2565</v>
      </c>
      <c r="N266" s="1097" t="s">
        <v>164</v>
      </c>
      <c r="O266" s="1287" t="s">
        <v>4190</v>
      </c>
      <c r="P266" s="554" t="s">
        <v>2300</v>
      </c>
      <c r="Q266" s="292"/>
      <c r="R266" s="170"/>
      <c r="S266" s="389"/>
      <c r="T266" s="501" t="s">
        <v>2532</v>
      </c>
      <c r="U266" s="501" t="s">
        <v>1981</v>
      </c>
      <c r="W266" s="431" t="s">
        <v>1719</v>
      </c>
      <c r="X266" s="431" t="s">
        <v>3328</v>
      </c>
      <c r="Z266" s="431"/>
      <c r="AA266" s="26"/>
      <c r="AB266" s="26"/>
      <c r="AC266" s="931"/>
      <c r="AD266" s="512"/>
    </row>
    <row r="267" spans="2:30" ht="10.5" customHeight="1">
      <c r="B267" s="283"/>
      <c r="C267" s="378" t="s">
        <v>2367</v>
      </c>
      <c r="D267" s="444">
        <v>46700</v>
      </c>
      <c r="F267" s="556"/>
      <c r="G267" s="1009" t="s">
        <v>2558</v>
      </c>
      <c r="H267" s="1009" t="s">
        <v>1296</v>
      </c>
      <c r="I267" s="1013" t="s">
        <v>753</v>
      </c>
      <c r="J267" s="1013" t="s">
        <v>2579</v>
      </c>
      <c r="K267" s="1011" t="s">
        <v>2543</v>
      </c>
      <c r="L267" s="1012" t="s">
        <v>420</v>
      </c>
      <c r="M267" s="1097" t="s">
        <v>1181</v>
      </c>
      <c r="N267" s="1097" t="s">
        <v>1190</v>
      </c>
      <c r="O267" s="1287" t="s">
        <v>4191</v>
      </c>
      <c r="P267" s="554" t="s">
        <v>1231</v>
      </c>
      <c r="Q267" s="292"/>
      <c r="R267" s="170"/>
      <c r="S267" s="389"/>
      <c r="T267" s="501" t="s">
        <v>2042</v>
      </c>
      <c r="U267" s="501" t="s">
        <v>197</v>
      </c>
      <c r="W267" s="431" t="s">
        <v>620</v>
      </c>
      <c r="X267" s="431" t="s">
        <v>3328</v>
      </c>
      <c r="Z267" s="431"/>
      <c r="AA267" s="26"/>
      <c r="AB267" s="26"/>
      <c r="AC267" s="931"/>
      <c r="AD267" s="512"/>
    </row>
    <row r="268" spans="2:30" ht="10.5" customHeight="1">
      <c r="B268" s="283"/>
      <c r="C268" s="378" t="s">
        <v>2369</v>
      </c>
      <c r="D268" s="444">
        <v>48000</v>
      </c>
      <c r="F268" s="556"/>
      <c r="G268" s="1009" t="s">
        <v>1078</v>
      </c>
      <c r="H268" s="1009" t="s">
        <v>1296</v>
      </c>
      <c r="I268" s="1013" t="s">
        <v>1079</v>
      </c>
      <c r="J268" s="1013" t="s">
        <v>2579</v>
      </c>
      <c r="K268" s="1011" t="s">
        <v>1927</v>
      </c>
      <c r="L268" s="1012" t="s">
        <v>420</v>
      </c>
      <c r="M268" s="1098" t="s">
        <v>2565</v>
      </c>
      <c r="N268" s="1098" t="s">
        <v>1305</v>
      </c>
      <c r="O268" s="1287" t="s">
        <v>4192</v>
      </c>
      <c r="P268" s="554" t="s">
        <v>1233</v>
      </c>
      <c r="Q268" s="292"/>
      <c r="R268" s="170"/>
      <c r="S268" s="389"/>
      <c r="T268" s="501" t="s">
        <v>2797</v>
      </c>
      <c r="U268" s="501" t="s">
        <v>651</v>
      </c>
      <c r="W268" s="431" t="s">
        <v>2259</v>
      </c>
      <c r="X268" s="431" t="s">
        <v>3328</v>
      </c>
      <c r="Z268" s="431"/>
      <c r="AA268" s="26"/>
      <c r="AB268" s="26"/>
      <c r="AC268" s="931"/>
      <c r="AD268" s="512"/>
    </row>
    <row r="269" spans="2:30" ht="10.5" customHeight="1">
      <c r="F269" s="556"/>
      <c r="G269" s="1009" t="s">
        <v>1080</v>
      </c>
      <c r="H269" s="1009" t="s">
        <v>1296</v>
      </c>
      <c r="I269" s="1013" t="s">
        <v>753</v>
      </c>
      <c r="J269" s="1013" t="s">
        <v>2579</v>
      </c>
      <c r="K269" s="1011" t="s">
        <v>2543</v>
      </c>
      <c r="L269" s="1012" t="s">
        <v>420</v>
      </c>
      <c r="M269" s="1097" t="s">
        <v>1181</v>
      </c>
      <c r="N269" s="1097" t="s">
        <v>1190</v>
      </c>
      <c r="O269" s="1287" t="s">
        <v>4193</v>
      </c>
      <c r="P269" s="554" t="s">
        <v>1235</v>
      </c>
      <c r="Q269" s="292"/>
      <c r="R269" s="170"/>
      <c r="S269" s="389"/>
      <c r="T269" s="501" t="s">
        <v>2044</v>
      </c>
      <c r="U269" s="501" t="s">
        <v>197</v>
      </c>
      <c r="W269" s="431" t="s">
        <v>1020</v>
      </c>
      <c r="X269" s="431" t="s">
        <v>3328</v>
      </c>
      <c r="AA269" s="26"/>
      <c r="AB269" s="26"/>
      <c r="AC269" s="931"/>
      <c r="AD269" s="512"/>
    </row>
    <row r="270" spans="2:30" ht="10.5" customHeight="1">
      <c r="F270" s="556"/>
      <c r="G270" s="1009" t="s">
        <v>1081</v>
      </c>
      <c r="H270" s="1009" t="s">
        <v>1196</v>
      </c>
      <c r="I270" s="1010" t="s">
        <v>1082</v>
      </c>
      <c r="J270" s="1010" t="s">
        <v>2578</v>
      </c>
      <c r="K270" s="1011" t="s">
        <v>1928</v>
      </c>
      <c r="L270" s="1012" t="s">
        <v>419</v>
      </c>
      <c r="M270" s="1098" t="s">
        <v>2565</v>
      </c>
      <c r="N270" s="1098" t="s">
        <v>1675</v>
      </c>
      <c r="O270" s="1287" t="s">
        <v>4194</v>
      </c>
      <c r="P270" s="554" t="s">
        <v>1236</v>
      </c>
      <c r="Q270" s="292"/>
      <c r="R270" s="170"/>
      <c r="S270" s="389"/>
      <c r="T270" s="501" t="s">
        <v>665</v>
      </c>
      <c r="U270" s="501" t="s">
        <v>1981</v>
      </c>
      <c r="W270" s="431" t="s">
        <v>1918</v>
      </c>
      <c r="X270" s="431" t="s">
        <v>3328</v>
      </c>
      <c r="AA270" s="26"/>
      <c r="AB270" s="26"/>
      <c r="AC270" s="931"/>
      <c r="AD270" s="512"/>
    </row>
    <row r="271" spans="2:30" ht="10.5" customHeight="1">
      <c r="F271" s="556"/>
      <c r="G271" s="1009" t="s">
        <v>1083</v>
      </c>
      <c r="H271" s="1009" t="s">
        <v>1296</v>
      </c>
      <c r="I271" s="1013" t="s">
        <v>753</v>
      </c>
      <c r="J271" s="1013" t="s">
        <v>2579</v>
      </c>
      <c r="K271" s="1011" t="s">
        <v>2543</v>
      </c>
      <c r="L271" s="1012" t="s">
        <v>420</v>
      </c>
      <c r="M271" s="1097" t="s">
        <v>1181</v>
      </c>
      <c r="N271" s="1097" t="s">
        <v>1190</v>
      </c>
      <c r="O271" s="1287" t="s">
        <v>4195</v>
      </c>
      <c r="P271" s="554" t="s">
        <v>1238</v>
      </c>
      <c r="Q271" s="292"/>
      <c r="R271" s="170"/>
      <c r="S271" s="389"/>
      <c r="T271" s="501" t="s">
        <v>2301</v>
      </c>
      <c r="U271" s="501" t="s">
        <v>120</v>
      </c>
      <c r="W271" s="431" t="s">
        <v>487</v>
      </c>
      <c r="X271" s="431" t="s">
        <v>3328</v>
      </c>
      <c r="AA271" s="26"/>
      <c r="AB271" s="26"/>
      <c r="AC271" s="931"/>
      <c r="AD271" s="512"/>
    </row>
    <row r="272" spans="2:30" ht="10.5" customHeight="1">
      <c r="F272" s="556"/>
      <c r="G272" s="1009" t="s">
        <v>1084</v>
      </c>
      <c r="H272" s="1009" t="s">
        <v>1296</v>
      </c>
      <c r="I272" s="1010" t="s">
        <v>1085</v>
      </c>
      <c r="J272" s="1010" t="s">
        <v>2578</v>
      </c>
      <c r="K272" s="1011" t="s">
        <v>1929</v>
      </c>
      <c r="L272" s="1012" t="s">
        <v>419</v>
      </c>
      <c r="M272" s="1098" t="s">
        <v>2565</v>
      </c>
      <c r="N272" s="1098" t="s">
        <v>1190</v>
      </c>
      <c r="O272" s="1287" t="s">
        <v>4196</v>
      </c>
      <c r="P272" s="554" t="s">
        <v>2461</v>
      </c>
      <c r="Q272" s="292"/>
      <c r="R272" s="170"/>
      <c r="S272" s="389"/>
      <c r="T272" s="501" t="s">
        <v>1232</v>
      </c>
      <c r="U272" s="501" t="s">
        <v>617</v>
      </c>
      <c r="W272" s="431" t="s">
        <v>1627</v>
      </c>
      <c r="X272" s="431" t="s">
        <v>3328</v>
      </c>
      <c r="AA272" s="26"/>
      <c r="AB272" s="26"/>
      <c r="AC272" s="931"/>
      <c r="AD272" s="512"/>
    </row>
    <row r="273" spans="6:30" ht="10.5" customHeight="1">
      <c r="F273" s="556"/>
      <c r="G273" s="1009" t="s">
        <v>1086</v>
      </c>
      <c r="H273" s="1009" t="s">
        <v>1196</v>
      </c>
      <c r="I273" s="1013" t="s">
        <v>1087</v>
      </c>
      <c r="J273" s="1013" t="s">
        <v>2579</v>
      </c>
      <c r="K273" s="1011" t="s">
        <v>1930</v>
      </c>
      <c r="L273" s="1012" t="s">
        <v>420</v>
      </c>
      <c r="M273" s="1098" t="s">
        <v>2565</v>
      </c>
      <c r="N273" s="1098" t="s">
        <v>1305</v>
      </c>
      <c r="O273" s="1287" t="s">
        <v>4197</v>
      </c>
      <c r="P273" s="554" t="s">
        <v>80</v>
      </c>
      <c r="Q273" s="292"/>
      <c r="R273" s="170"/>
      <c r="S273" s="389"/>
      <c r="T273" s="501" t="s">
        <v>1234</v>
      </c>
      <c r="U273" s="501" t="s">
        <v>2216</v>
      </c>
      <c r="W273" s="431" t="s">
        <v>930</v>
      </c>
      <c r="X273" s="431" t="s">
        <v>3328</v>
      </c>
      <c r="AA273" s="26"/>
      <c r="AB273" s="26"/>
      <c r="AC273" s="931"/>
      <c r="AD273" s="512"/>
    </row>
    <row r="274" spans="6:30" ht="10.5" customHeight="1">
      <c r="F274" s="556"/>
      <c r="G274" s="1009" t="s">
        <v>1088</v>
      </c>
      <c r="H274" s="1009" t="s">
        <v>1296</v>
      </c>
      <c r="I274" s="1013" t="s">
        <v>1089</v>
      </c>
      <c r="J274" s="1013" t="s">
        <v>2578</v>
      </c>
      <c r="K274" s="1011" t="s">
        <v>1931</v>
      </c>
      <c r="L274" s="1012" t="s">
        <v>419</v>
      </c>
      <c r="M274" s="1098" t="s">
        <v>2565</v>
      </c>
      <c r="N274" s="1098" t="s">
        <v>1190</v>
      </c>
      <c r="O274" s="1287" t="s">
        <v>4198</v>
      </c>
      <c r="P274" s="554" t="s">
        <v>81</v>
      </c>
      <c r="Q274" s="292"/>
      <c r="R274" s="170"/>
      <c r="S274" s="389"/>
      <c r="T274" s="501" t="s">
        <v>2451</v>
      </c>
      <c r="U274" s="501" t="s">
        <v>1092</v>
      </c>
      <c r="W274" s="431" t="s">
        <v>2278</v>
      </c>
      <c r="X274" s="431" t="s">
        <v>3328</v>
      </c>
      <c r="AA274" s="26"/>
      <c r="AB274" s="26"/>
      <c r="AC274" s="931"/>
      <c r="AD274" s="512"/>
    </row>
    <row r="275" spans="6:30" ht="10.5" customHeight="1">
      <c r="F275" s="556"/>
      <c r="G275" s="1009" t="s">
        <v>1090</v>
      </c>
      <c r="H275" s="1009" t="s">
        <v>1196</v>
      </c>
      <c r="I275" s="1010" t="s">
        <v>1091</v>
      </c>
      <c r="J275" s="1010" t="s">
        <v>2578</v>
      </c>
      <c r="K275" s="1011" t="s">
        <v>1762</v>
      </c>
      <c r="L275" s="1012" t="s">
        <v>419</v>
      </c>
      <c r="M275" s="1098" t="s">
        <v>2565</v>
      </c>
      <c r="N275" s="1098" t="s">
        <v>159</v>
      </c>
      <c r="O275" s="1287" t="s">
        <v>4199</v>
      </c>
      <c r="P275" s="554" t="s">
        <v>82</v>
      </c>
      <c r="Q275" s="292"/>
      <c r="R275" s="170"/>
      <c r="S275" s="389"/>
      <c r="T275" s="501" t="s">
        <v>1237</v>
      </c>
      <c r="U275" s="501" t="s">
        <v>308</v>
      </c>
      <c r="W275" s="431" t="s">
        <v>320</v>
      </c>
      <c r="X275" s="431" t="s">
        <v>3328</v>
      </c>
      <c r="AA275" s="26"/>
      <c r="AB275" s="26"/>
      <c r="AC275" s="931"/>
      <c r="AD275" s="512"/>
    </row>
    <row r="276" spans="6:30" ht="10.5" customHeight="1">
      <c r="F276" s="556"/>
      <c r="G276" s="1009" t="s">
        <v>1092</v>
      </c>
      <c r="H276" s="1009" t="s">
        <v>1296</v>
      </c>
      <c r="I276" s="1010" t="s">
        <v>1093</v>
      </c>
      <c r="J276" s="1010" t="s">
        <v>2578</v>
      </c>
      <c r="K276" s="1011" t="s">
        <v>1763</v>
      </c>
      <c r="L276" s="1012" t="s">
        <v>419</v>
      </c>
      <c r="M276" s="1098" t="s">
        <v>2565</v>
      </c>
      <c r="N276" s="1098" t="s">
        <v>164</v>
      </c>
      <c r="O276" s="1287" t="s">
        <v>4200</v>
      </c>
      <c r="P276" s="554" t="s">
        <v>84</v>
      </c>
      <c r="Q276" s="292"/>
      <c r="R276" s="170"/>
      <c r="S276" s="389"/>
      <c r="T276" s="501" t="s">
        <v>2460</v>
      </c>
      <c r="U276" s="501" t="s">
        <v>112</v>
      </c>
      <c r="W276" s="431" t="s">
        <v>322</v>
      </c>
      <c r="X276" s="431" t="s">
        <v>3328</v>
      </c>
      <c r="AA276" s="26"/>
      <c r="AB276" s="26"/>
      <c r="AC276" s="931"/>
      <c r="AD276" s="512"/>
    </row>
    <row r="277" spans="6:30" ht="10.5" customHeight="1">
      <c r="F277" s="556"/>
      <c r="G277" s="1009" t="s">
        <v>1094</v>
      </c>
      <c r="H277" s="1009" t="s">
        <v>1196</v>
      </c>
      <c r="I277" s="1010" t="s">
        <v>1095</v>
      </c>
      <c r="J277" s="1010" t="s">
        <v>2578</v>
      </c>
      <c r="K277" s="1011" t="s">
        <v>1764</v>
      </c>
      <c r="L277" s="1012" t="s">
        <v>419</v>
      </c>
      <c r="M277" s="1098" t="s">
        <v>2565</v>
      </c>
      <c r="N277" s="1098" t="s">
        <v>1760</v>
      </c>
      <c r="O277" s="1287" t="s">
        <v>4201</v>
      </c>
      <c r="P277" s="554" t="s">
        <v>1212</v>
      </c>
      <c r="Q277" s="292"/>
      <c r="R277" s="170"/>
      <c r="S277" s="389"/>
      <c r="T277" s="501" t="s">
        <v>79</v>
      </c>
      <c r="U277" s="501" t="s">
        <v>194</v>
      </c>
      <c r="W277" s="431" t="s">
        <v>325</v>
      </c>
      <c r="X277" s="431" t="s">
        <v>3328</v>
      </c>
      <c r="AA277" s="26"/>
      <c r="AB277" s="26"/>
      <c r="AC277" s="931"/>
      <c r="AD277" s="512"/>
    </row>
    <row r="278" spans="6:30" ht="10.5" customHeight="1">
      <c r="F278" s="556"/>
      <c r="G278" s="1009" t="s">
        <v>1096</v>
      </c>
      <c r="H278" s="1009" t="s">
        <v>1774</v>
      </c>
      <c r="I278" s="1013" t="s">
        <v>754</v>
      </c>
      <c r="J278" s="1013" t="s">
        <v>2579</v>
      </c>
      <c r="K278" s="1011" t="s">
        <v>2564</v>
      </c>
      <c r="L278" s="1012" t="s">
        <v>420</v>
      </c>
      <c r="M278" s="1098" t="s">
        <v>1181</v>
      </c>
      <c r="N278" s="1098" t="s">
        <v>1315</v>
      </c>
      <c r="O278" s="1287" t="s">
        <v>4202</v>
      </c>
      <c r="P278" s="554" t="s">
        <v>1214</v>
      </c>
      <c r="Q278" s="292"/>
      <c r="R278" s="170"/>
      <c r="S278" s="389"/>
      <c r="T278" s="501" t="s">
        <v>83</v>
      </c>
      <c r="U278" s="501" t="s">
        <v>2156</v>
      </c>
      <c r="W278" s="431" t="s">
        <v>1734</v>
      </c>
      <c r="X278" s="431" t="s">
        <v>3328</v>
      </c>
      <c r="AA278" s="26"/>
      <c r="AB278" s="26"/>
      <c r="AC278" s="931"/>
      <c r="AD278" s="512"/>
    </row>
    <row r="279" spans="6:30" ht="10.5" customHeight="1">
      <c r="F279" s="556"/>
      <c r="G279" s="1009" t="s">
        <v>1097</v>
      </c>
      <c r="H279" s="1009" t="s">
        <v>1296</v>
      </c>
      <c r="I279" s="1013" t="s">
        <v>753</v>
      </c>
      <c r="J279" s="1013" t="s">
        <v>2579</v>
      </c>
      <c r="K279" s="1011" t="s">
        <v>2543</v>
      </c>
      <c r="L279" s="1012" t="s">
        <v>420</v>
      </c>
      <c r="M279" s="1097" t="s">
        <v>1181</v>
      </c>
      <c r="N279" s="1097" t="s">
        <v>1190</v>
      </c>
      <c r="O279" s="1287" t="s">
        <v>4203</v>
      </c>
      <c r="P279" s="554" t="s">
        <v>1216</v>
      </c>
      <c r="Q279" s="292"/>
      <c r="R279" s="170"/>
      <c r="S279" s="389"/>
      <c r="T279" s="501" t="s">
        <v>85</v>
      </c>
      <c r="U279" s="501" t="s">
        <v>1306</v>
      </c>
      <c r="W279" s="431" t="s">
        <v>680</v>
      </c>
      <c r="X279" s="431" t="s">
        <v>3328</v>
      </c>
      <c r="AA279" s="26"/>
      <c r="AB279" s="26"/>
      <c r="AC279" s="931"/>
      <c r="AD279" s="512"/>
    </row>
    <row r="280" spans="6:30" ht="10.5" customHeight="1">
      <c r="F280" s="556"/>
      <c r="G280" s="1009" t="s">
        <v>1098</v>
      </c>
      <c r="H280" s="1009" t="s">
        <v>1196</v>
      </c>
      <c r="I280" s="1010" t="s">
        <v>2140</v>
      </c>
      <c r="J280" s="1010" t="s">
        <v>2578</v>
      </c>
      <c r="K280" s="1011" t="s">
        <v>1765</v>
      </c>
      <c r="L280" s="1012" t="s">
        <v>419</v>
      </c>
      <c r="M280" s="1098" t="s">
        <v>2565</v>
      </c>
      <c r="N280" s="1098" t="s">
        <v>159</v>
      </c>
      <c r="O280" s="1287" t="s">
        <v>4204</v>
      </c>
      <c r="P280" s="554" t="s">
        <v>1218</v>
      </c>
      <c r="Q280" s="292"/>
      <c r="R280" s="170"/>
      <c r="S280" s="389"/>
      <c r="T280" s="501" t="s">
        <v>1213</v>
      </c>
      <c r="U280" s="501" t="s">
        <v>1924</v>
      </c>
      <c r="W280" s="431" t="s">
        <v>2324</v>
      </c>
      <c r="X280" s="431" t="s">
        <v>3328</v>
      </c>
      <c r="AA280" s="26"/>
      <c r="AB280" s="26"/>
      <c r="AC280" s="931"/>
      <c r="AD280" s="512"/>
    </row>
    <row r="281" spans="6:30" ht="10.5" customHeight="1">
      <c r="F281" s="556"/>
      <c r="G281" s="1009" t="s">
        <v>2141</v>
      </c>
      <c r="H281" s="1009" t="s">
        <v>1196</v>
      </c>
      <c r="I281" s="1010" t="s">
        <v>2142</v>
      </c>
      <c r="J281" s="1010" t="s">
        <v>2578</v>
      </c>
      <c r="K281" s="1011" t="s">
        <v>1766</v>
      </c>
      <c r="L281" s="1012" t="s">
        <v>419</v>
      </c>
      <c r="M281" s="1098" t="s">
        <v>2565</v>
      </c>
      <c r="N281" s="1098" t="s">
        <v>1311</v>
      </c>
      <c r="O281" s="1287" t="s">
        <v>4205</v>
      </c>
      <c r="P281" s="554" t="s">
        <v>1220</v>
      </c>
      <c r="Q281" s="292"/>
      <c r="R281" s="170"/>
      <c r="S281" s="389"/>
      <c r="T281" s="501" t="s">
        <v>1215</v>
      </c>
      <c r="U281" s="501" t="s">
        <v>177</v>
      </c>
      <c r="W281" s="431" t="s">
        <v>471</v>
      </c>
      <c r="X281" s="431" t="s">
        <v>3328</v>
      </c>
      <c r="AA281" s="26"/>
      <c r="AB281" s="26"/>
      <c r="AC281" s="931"/>
      <c r="AD281" s="512"/>
    </row>
    <row r="282" spans="6:30" ht="10.5" customHeight="1">
      <c r="F282" s="556"/>
      <c r="G282" s="1009" t="s">
        <v>1589</v>
      </c>
      <c r="H282" s="1009" t="s">
        <v>1589</v>
      </c>
      <c r="I282" s="1009" t="s">
        <v>1589</v>
      </c>
      <c r="J282" s="1010"/>
      <c r="K282" s="1011"/>
      <c r="L282" s="1012"/>
      <c r="M282" s="1009" t="s">
        <v>1589</v>
      </c>
      <c r="N282" s="1009" t="s">
        <v>1589</v>
      </c>
      <c r="O282" s="1287" t="s">
        <v>4206</v>
      </c>
      <c r="P282" s="554" t="s">
        <v>1222</v>
      </c>
      <c r="Q282" s="292"/>
      <c r="R282" s="170"/>
      <c r="S282" s="389"/>
      <c r="T282" s="501" t="s">
        <v>1217</v>
      </c>
      <c r="U282" s="501" t="s">
        <v>1094</v>
      </c>
      <c r="W282" s="431" t="s">
        <v>3321</v>
      </c>
      <c r="X282" s="431" t="s">
        <v>3328</v>
      </c>
      <c r="AA282" s="26"/>
      <c r="AB282" s="26"/>
      <c r="AC282" s="931"/>
      <c r="AD282" s="512"/>
    </row>
    <row r="283" spans="6:30" ht="10.5" customHeight="1">
      <c r="F283" s="556"/>
      <c r="G283" s="1009" t="s">
        <v>2143</v>
      </c>
      <c r="H283" s="1009" t="s">
        <v>1196</v>
      </c>
      <c r="I283" s="1013" t="s">
        <v>2144</v>
      </c>
      <c r="J283" s="1010" t="s">
        <v>2578</v>
      </c>
      <c r="K283" s="1011" t="s">
        <v>452</v>
      </c>
      <c r="L283" s="1012" t="s">
        <v>419</v>
      </c>
      <c r="M283" s="1098" t="s">
        <v>2565</v>
      </c>
      <c r="N283" s="1098" t="s">
        <v>1760</v>
      </c>
      <c r="O283" s="1287" t="s">
        <v>4207</v>
      </c>
      <c r="P283" s="554" t="s">
        <v>878</v>
      </c>
      <c r="Q283" s="292"/>
      <c r="R283" s="170"/>
      <c r="S283" s="389"/>
      <c r="T283" s="555" t="s">
        <v>1219</v>
      </c>
      <c r="U283" s="555" t="s">
        <v>1191</v>
      </c>
      <c r="W283" s="431" t="s">
        <v>3322</v>
      </c>
      <c r="X283" s="431" t="s">
        <v>3328</v>
      </c>
      <c r="AA283" s="26"/>
      <c r="AB283" s="26"/>
      <c r="AC283" s="931"/>
      <c r="AD283" s="512"/>
    </row>
    <row r="284" spans="6:30" ht="10.5" customHeight="1">
      <c r="F284" s="556"/>
      <c r="G284" s="1009" t="s">
        <v>2145</v>
      </c>
      <c r="H284" s="1009" t="s">
        <v>1196</v>
      </c>
      <c r="I284" s="1013" t="s">
        <v>753</v>
      </c>
      <c r="J284" s="1013" t="s">
        <v>2579</v>
      </c>
      <c r="K284" s="1011" t="s">
        <v>2543</v>
      </c>
      <c r="L284" s="1012" t="s">
        <v>420</v>
      </c>
      <c r="M284" s="1097" t="s">
        <v>1181</v>
      </c>
      <c r="N284" s="1098" t="s">
        <v>1190</v>
      </c>
      <c r="O284" s="1287" t="s">
        <v>4208</v>
      </c>
      <c r="P284" s="554" t="s">
        <v>879</v>
      </c>
      <c r="Q284" s="292"/>
      <c r="R284" s="170"/>
      <c r="S284" s="389"/>
      <c r="T284" s="501" t="s">
        <v>1221</v>
      </c>
      <c r="U284" s="501" t="s">
        <v>2156</v>
      </c>
      <c r="W284" s="431" t="s">
        <v>76</v>
      </c>
      <c r="X284" s="431" t="s">
        <v>3328</v>
      </c>
      <c r="AA284" s="26"/>
      <c r="AB284" s="26"/>
      <c r="AC284" s="932"/>
      <c r="AD284" s="512"/>
    </row>
    <row r="285" spans="6:30" ht="10.5" customHeight="1">
      <c r="F285" s="556"/>
      <c r="G285" s="1009" t="s">
        <v>2146</v>
      </c>
      <c r="H285" s="1009" t="s">
        <v>1296</v>
      </c>
      <c r="I285" s="1013" t="s">
        <v>2147</v>
      </c>
      <c r="J285" s="1013" t="s">
        <v>2578</v>
      </c>
      <c r="K285" s="1011" t="s">
        <v>218</v>
      </c>
      <c r="L285" s="1012" t="s">
        <v>419</v>
      </c>
      <c r="M285" s="1098" t="s">
        <v>2565</v>
      </c>
      <c r="N285" s="1097" t="s">
        <v>164</v>
      </c>
      <c r="O285" s="1287" t="s">
        <v>4209</v>
      </c>
      <c r="P285" s="554" t="s">
        <v>881</v>
      </c>
      <c r="Q285" s="292"/>
      <c r="R285" s="170"/>
      <c r="S285" s="389"/>
      <c r="T285" s="501" t="s">
        <v>2457</v>
      </c>
      <c r="U285" s="501" t="s">
        <v>1612</v>
      </c>
      <c r="W285" s="431" t="s">
        <v>2382</v>
      </c>
      <c r="X285" s="431" t="s">
        <v>3328</v>
      </c>
      <c r="AA285" s="26"/>
      <c r="AB285" s="26"/>
      <c r="AC285" s="931"/>
      <c r="AD285" s="512"/>
    </row>
    <row r="286" spans="6:30" ht="10.5" customHeight="1">
      <c r="F286" s="556"/>
      <c r="G286" s="1009" t="s">
        <v>2148</v>
      </c>
      <c r="H286" s="1009" t="s">
        <v>1196</v>
      </c>
      <c r="I286" s="1010" t="s">
        <v>2149</v>
      </c>
      <c r="J286" s="1013" t="s">
        <v>2578</v>
      </c>
      <c r="K286" s="1011" t="s">
        <v>1405</v>
      </c>
      <c r="L286" s="1012" t="s">
        <v>419</v>
      </c>
      <c r="M286" s="1098" t="s">
        <v>2565</v>
      </c>
      <c r="N286" s="1098" t="s">
        <v>159</v>
      </c>
      <c r="O286" s="1287" t="s">
        <v>4210</v>
      </c>
      <c r="P286" s="554" t="s">
        <v>883</v>
      </c>
      <c r="Q286" s="292"/>
      <c r="R286" s="170"/>
      <c r="S286" s="389"/>
      <c r="T286" s="501" t="s">
        <v>159</v>
      </c>
      <c r="U286" s="501" t="s">
        <v>2554</v>
      </c>
      <c r="W286" s="431" t="s">
        <v>603</v>
      </c>
      <c r="X286" s="431" t="s">
        <v>3328</v>
      </c>
      <c r="AA286" s="26"/>
      <c r="AB286" s="26"/>
      <c r="AC286" s="931"/>
      <c r="AD286" s="512"/>
    </row>
    <row r="287" spans="6:30" ht="10.5" customHeight="1">
      <c r="F287" s="556"/>
      <c r="G287" s="1009" t="s">
        <v>2150</v>
      </c>
      <c r="H287" s="1009" t="s">
        <v>1774</v>
      </c>
      <c r="I287" s="1010" t="s">
        <v>2151</v>
      </c>
      <c r="J287" s="1010" t="s">
        <v>2578</v>
      </c>
      <c r="K287" s="1011" t="s">
        <v>1406</v>
      </c>
      <c r="L287" s="1012" t="s">
        <v>419</v>
      </c>
      <c r="M287" s="1098" t="s">
        <v>2565</v>
      </c>
      <c r="N287" s="1098" t="s">
        <v>1760</v>
      </c>
      <c r="O287" s="1287" t="s">
        <v>4211</v>
      </c>
      <c r="P287" s="554" t="s">
        <v>2111</v>
      </c>
      <c r="Q287" s="292"/>
      <c r="R287" s="170"/>
      <c r="S287" s="389"/>
      <c r="T287" s="501" t="s">
        <v>880</v>
      </c>
      <c r="U287" s="501" t="s">
        <v>177</v>
      </c>
      <c r="W287" s="431" t="s">
        <v>954</v>
      </c>
      <c r="X287" s="431" t="s">
        <v>3328</v>
      </c>
      <c r="AA287" s="26"/>
      <c r="AB287" s="26"/>
      <c r="AC287" s="931"/>
      <c r="AD287" s="512"/>
    </row>
    <row r="288" spans="6:30" ht="10.5" customHeight="1">
      <c r="F288" s="556"/>
      <c r="G288" s="1009" t="s">
        <v>2152</v>
      </c>
      <c r="H288" s="1009" t="s">
        <v>1196</v>
      </c>
      <c r="I288" s="1010" t="s">
        <v>2153</v>
      </c>
      <c r="J288" s="1010" t="s">
        <v>2578</v>
      </c>
      <c r="K288" s="1011" t="s">
        <v>1407</v>
      </c>
      <c r="L288" s="1012" t="s">
        <v>419</v>
      </c>
      <c r="M288" s="1098" t="s">
        <v>2565</v>
      </c>
      <c r="N288" s="1098" t="s">
        <v>159</v>
      </c>
      <c r="O288" s="1287" t="s">
        <v>4212</v>
      </c>
      <c r="P288" s="554" t="s">
        <v>2112</v>
      </c>
      <c r="Q288" s="292"/>
      <c r="R288" s="170"/>
      <c r="S288" s="389"/>
      <c r="T288" s="501" t="s">
        <v>882</v>
      </c>
      <c r="U288" s="501" t="s">
        <v>320</v>
      </c>
      <c r="W288" s="431" t="s">
        <v>1474</v>
      </c>
      <c r="X288" s="431" t="s">
        <v>3328</v>
      </c>
      <c r="AA288" s="26"/>
      <c r="AB288" s="26"/>
      <c r="AC288" s="931"/>
      <c r="AD288" s="512"/>
    </row>
    <row r="289" spans="6:30" ht="10.5" customHeight="1">
      <c r="F289" s="556"/>
      <c r="G289" s="1009" t="s">
        <v>2154</v>
      </c>
      <c r="H289" s="1009" t="s">
        <v>1296</v>
      </c>
      <c r="I289" s="1010" t="s">
        <v>2155</v>
      </c>
      <c r="J289" s="1010" t="s">
        <v>2578</v>
      </c>
      <c r="K289" s="1011" t="s">
        <v>1986</v>
      </c>
      <c r="L289" s="1012" t="s">
        <v>419</v>
      </c>
      <c r="M289" s="1098" t="s">
        <v>2565</v>
      </c>
      <c r="N289" s="1098" t="s">
        <v>164</v>
      </c>
      <c r="O289" s="1287" t="s">
        <v>4213</v>
      </c>
      <c r="P289" s="554" t="s">
        <v>2029</v>
      </c>
      <c r="Q289" s="292"/>
      <c r="R289" s="170"/>
      <c r="S289" s="389"/>
      <c r="T289" s="555" t="s">
        <v>884</v>
      </c>
      <c r="U289" s="555" t="s">
        <v>1083</v>
      </c>
      <c r="W289" s="431" t="s">
        <v>2308</v>
      </c>
      <c r="X289" s="431" t="s">
        <v>3328</v>
      </c>
      <c r="AA289" s="26"/>
      <c r="AB289" s="26"/>
      <c r="AC289" s="931"/>
      <c r="AD289" s="512"/>
    </row>
    <row r="290" spans="6:30" ht="10.5" customHeight="1">
      <c r="F290" s="556"/>
      <c r="G290" s="1009" t="s">
        <v>2156</v>
      </c>
      <c r="H290" s="1009" t="s">
        <v>1196</v>
      </c>
      <c r="I290" s="1010" t="s">
        <v>2157</v>
      </c>
      <c r="J290" s="1010" t="s">
        <v>2578</v>
      </c>
      <c r="K290" s="1011" t="s">
        <v>1987</v>
      </c>
      <c r="L290" s="1012" t="s">
        <v>419</v>
      </c>
      <c r="M290" s="1098" t="s">
        <v>2565</v>
      </c>
      <c r="N290" s="1098" t="s">
        <v>1311</v>
      </c>
      <c r="O290" s="1287" t="s">
        <v>4214</v>
      </c>
      <c r="P290" s="554" t="s">
        <v>2031</v>
      </c>
      <c r="Q290" s="292"/>
      <c r="R290" s="170"/>
      <c r="S290" s="389"/>
      <c r="T290" s="501" t="s">
        <v>2533</v>
      </c>
      <c r="U290" s="501" t="s">
        <v>2451</v>
      </c>
      <c r="W290" s="431" t="s">
        <v>809</v>
      </c>
      <c r="X290" s="431" t="s">
        <v>3328</v>
      </c>
      <c r="AA290" s="26"/>
      <c r="AB290" s="26"/>
      <c r="AC290" s="932"/>
      <c r="AD290" s="512"/>
    </row>
    <row r="291" spans="6:30" ht="10.5" customHeight="1">
      <c r="F291" s="556"/>
      <c r="G291" s="1009" t="s">
        <v>2158</v>
      </c>
      <c r="H291" s="1009" t="s">
        <v>1196</v>
      </c>
      <c r="I291" s="1010" t="s">
        <v>857</v>
      </c>
      <c r="J291" s="1010" t="s">
        <v>2578</v>
      </c>
      <c r="K291" s="1011" t="s">
        <v>1988</v>
      </c>
      <c r="L291" s="1012" t="s">
        <v>419</v>
      </c>
      <c r="M291" s="1098" t="s">
        <v>2565</v>
      </c>
      <c r="N291" s="1098" t="s">
        <v>159</v>
      </c>
      <c r="O291" s="1287" t="s">
        <v>4215</v>
      </c>
      <c r="P291" s="554" t="s">
        <v>587</v>
      </c>
      <c r="Q291" s="292"/>
      <c r="R291" s="170"/>
      <c r="S291" s="389"/>
      <c r="T291" s="501" t="s">
        <v>2113</v>
      </c>
      <c r="U291" s="501" t="s">
        <v>1097</v>
      </c>
      <c r="W291" s="431" t="s">
        <v>812</v>
      </c>
      <c r="X291" s="431" t="s">
        <v>3328</v>
      </c>
      <c r="AA291" s="26"/>
      <c r="AB291" s="26"/>
      <c r="AC291" s="931"/>
      <c r="AD291" s="512"/>
    </row>
    <row r="292" spans="6:30" ht="10.5" customHeight="1">
      <c r="F292" s="556"/>
      <c r="G292" s="1009" t="s">
        <v>858</v>
      </c>
      <c r="H292" s="1009" t="s">
        <v>1196</v>
      </c>
      <c r="I292" s="1010" t="s">
        <v>859</v>
      </c>
      <c r="J292" s="1010" t="s">
        <v>2578</v>
      </c>
      <c r="K292" s="1011" t="s">
        <v>1989</v>
      </c>
      <c r="L292" s="1012" t="s">
        <v>419</v>
      </c>
      <c r="M292" s="1098" t="s">
        <v>2565</v>
      </c>
      <c r="N292" s="1098" t="s">
        <v>1760</v>
      </c>
      <c r="O292" s="1287" t="s">
        <v>4216</v>
      </c>
      <c r="P292" s="554" t="s">
        <v>588</v>
      </c>
      <c r="Q292" s="292"/>
      <c r="R292" s="170"/>
      <c r="S292" s="389"/>
      <c r="T292" s="501" t="s">
        <v>2030</v>
      </c>
      <c r="U292" s="501" t="s">
        <v>1647</v>
      </c>
      <c r="W292" s="431" t="s">
        <v>1491</v>
      </c>
      <c r="X292" s="431" t="s">
        <v>3328</v>
      </c>
      <c r="AA292" s="26"/>
      <c r="AB292" s="26"/>
      <c r="AC292" s="931"/>
      <c r="AD292" s="512"/>
    </row>
    <row r="293" spans="6:30" ht="10.5" customHeight="1">
      <c r="F293" s="556"/>
      <c r="G293" s="1009" t="s">
        <v>1646</v>
      </c>
      <c r="H293" s="1009" t="s">
        <v>1196</v>
      </c>
      <c r="I293" s="1013" t="s">
        <v>1760</v>
      </c>
      <c r="J293" s="1010" t="s">
        <v>2579</v>
      </c>
      <c r="K293" s="1011" t="s">
        <v>1148</v>
      </c>
      <c r="L293" s="1012" t="s">
        <v>420</v>
      </c>
      <c r="M293" s="1097" t="s">
        <v>2565</v>
      </c>
      <c r="N293" s="1098" t="s">
        <v>1760</v>
      </c>
      <c r="O293" s="1287" t="s">
        <v>4217</v>
      </c>
      <c r="P293" s="554" t="s">
        <v>590</v>
      </c>
      <c r="Q293" s="292"/>
      <c r="R293" s="170"/>
      <c r="S293" s="389"/>
      <c r="T293" s="501" t="s">
        <v>2032</v>
      </c>
      <c r="U293" s="501" t="s">
        <v>2500</v>
      </c>
      <c r="W293" s="431" t="s">
        <v>479</v>
      </c>
      <c r="X293" s="431" t="s">
        <v>3328</v>
      </c>
      <c r="AA293" s="26"/>
      <c r="AB293" s="26"/>
      <c r="AC293" s="931"/>
      <c r="AD293" s="512"/>
    </row>
    <row r="294" spans="6:30" ht="10.5" customHeight="1">
      <c r="F294" s="556"/>
      <c r="G294" s="1009" t="s">
        <v>1647</v>
      </c>
      <c r="H294" s="1009" t="s">
        <v>1196</v>
      </c>
      <c r="I294" s="1013" t="s">
        <v>1648</v>
      </c>
      <c r="J294" s="1013" t="s">
        <v>2578</v>
      </c>
      <c r="K294" s="1011" t="s">
        <v>1990</v>
      </c>
      <c r="L294" s="1012" t="s">
        <v>419</v>
      </c>
      <c r="M294" s="1098" t="s">
        <v>2565</v>
      </c>
      <c r="N294" s="1097" t="s">
        <v>1675</v>
      </c>
      <c r="O294" s="1287" t="s">
        <v>4218</v>
      </c>
      <c r="P294" s="554" t="s">
        <v>592</v>
      </c>
      <c r="Q294" s="292"/>
      <c r="R294" s="170"/>
      <c r="S294" s="389"/>
      <c r="T294" s="501" t="s">
        <v>814</v>
      </c>
      <c r="U294" s="501" t="s">
        <v>315</v>
      </c>
      <c r="W294" s="431" t="s">
        <v>1378</v>
      </c>
      <c r="X294" s="431" t="s">
        <v>3328</v>
      </c>
      <c r="AA294" s="26"/>
      <c r="AB294" s="26"/>
      <c r="AC294" s="931"/>
      <c r="AD294" s="512"/>
    </row>
    <row r="295" spans="6:30" ht="10.5" customHeight="1">
      <c r="F295" s="556"/>
      <c r="G295" s="1009" t="s">
        <v>1649</v>
      </c>
      <c r="H295" s="1009" t="s">
        <v>1196</v>
      </c>
      <c r="I295" s="1013" t="s">
        <v>1882</v>
      </c>
      <c r="J295" s="1013" t="s">
        <v>2578</v>
      </c>
      <c r="K295" s="1011" t="s">
        <v>1152</v>
      </c>
      <c r="L295" s="1012" t="s">
        <v>419</v>
      </c>
      <c r="M295" s="1098" t="s">
        <v>2565</v>
      </c>
      <c r="N295" s="1098" t="s">
        <v>1760</v>
      </c>
      <c r="O295" s="1287" t="s">
        <v>4219</v>
      </c>
      <c r="P295" s="554" t="s">
        <v>593</v>
      </c>
      <c r="Q295" s="292"/>
      <c r="R295" s="170"/>
      <c r="S295" s="389"/>
      <c r="T295" s="501" t="s">
        <v>589</v>
      </c>
      <c r="U295" s="501" t="s">
        <v>120</v>
      </c>
      <c r="W295" s="431" t="s">
        <v>1380</v>
      </c>
      <c r="X295" s="431" t="s">
        <v>3328</v>
      </c>
      <c r="AA295" s="26"/>
      <c r="AB295" s="26"/>
      <c r="AC295" s="931"/>
      <c r="AD295" s="935"/>
    </row>
    <row r="296" spans="6:30" ht="10.5" customHeight="1">
      <c r="F296" s="556"/>
      <c r="G296" s="1009" t="s">
        <v>1883</v>
      </c>
      <c r="H296" s="1009" t="s">
        <v>1196</v>
      </c>
      <c r="I296" s="1013" t="s">
        <v>1884</v>
      </c>
      <c r="J296" s="1013" t="s">
        <v>2578</v>
      </c>
      <c r="K296" s="1011" t="s">
        <v>1153</v>
      </c>
      <c r="L296" s="1012" t="s">
        <v>419</v>
      </c>
      <c r="M296" s="1098" t="s">
        <v>2565</v>
      </c>
      <c r="N296" s="1098" t="s">
        <v>1311</v>
      </c>
      <c r="O296" s="1287" t="s">
        <v>4220</v>
      </c>
      <c r="P296" s="554" t="s">
        <v>594</v>
      </c>
      <c r="Q296" s="292"/>
      <c r="R296" s="170"/>
      <c r="S296" s="389"/>
      <c r="T296" s="501" t="s">
        <v>2534</v>
      </c>
      <c r="U296" s="501" t="s">
        <v>1312</v>
      </c>
      <c r="W296" s="431" t="s">
        <v>2459</v>
      </c>
      <c r="X296" s="431" t="s">
        <v>3328</v>
      </c>
      <c r="AA296" s="26"/>
      <c r="AB296" s="26"/>
      <c r="AC296" s="931"/>
      <c r="AD296" s="512"/>
    </row>
    <row r="297" spans="6:30" ht="10.5" customHeight="1">
      <c r="F297" s="556"/>
      <c r="G297" s="1009" t="s">
        <v>1885</v>
      </c>
      <c r="H297" s="1009" t="s">
        <v>1296</v>
      </c>
      <c r="I297" s="1013" t="s">
        <v>1886</v>
      </c>
      <c r="J297" s="1013" t="s">
        <v>2578</v>
      </c>
      <c r="K297" s="1011" t="s">
        <v>1154</v>
      </c>
      <c r="L297" s="1012" t="s">
        <v>419</v>
      </c>
      <c r="M297" s="1098" t="s">
        <v>2565</v>
      </c>
      <c r="N297" s="1098" t="s">
        <v>164</v>
      </c>
      <c r="O297" s="1287" t="s">
        <v>4221</v>
      </c>
      <c r="P297" s="554" t="s">
        <v>596</v>
      </c>
      <c r="Q297" s="292"/>
      <c r="R297" s="170"/>
      <c r="S297" s="389"/>
      <c r="T297" s="501" t="s">
        <v>591</v>
      </c>
      <c r="U297" s="501" t="s">
        <v>2555</v>
      </c>
      <c r="W297" s="431" t="s">
        <v>1044</v>
      </c>
      <c r="X297" s="431" t="s">
        <v>3328</v>
      </c>
      <c r="AA297" s="26"/>
      <c r="AB297" s="26"/>
      <c r="AC297" s="931"/>
      <c r="AD297" s="512"/>
    </row>
    <row r="298" spans="6:30" ht="10.5" customHeight="1">
      <c r="F298" s="556"/>
      <c r="G298" s="1009" t="s">
        <v>1887</v>
      </c>
      <c r="H298" s="1009" t="s">
        <v>1196</v>
      </c>
      <c r="I298" s="1013" t="s">
        <v>1888</v>
      </c>
      <c r="J298" s="1013" t="s">
        <v>2578</v>
      </c>
      <c r="K298" s="1011" t="s">
        <v>1155</v>
      </c>
      <c r="L298" s="1012" t="s">
        <v>419</v>
      </c>
      <c r="M298" s="1098" t="s">
        <v>2565</v>
      </c>
      <c r="N298" s="1098" t="s">
        <v>1305</v>
      </c>
      <c r="O298" s="1287" t="s">
        <v>4222</v>
      </c>
      <c r="P298" s="554" t="s">
        <v>598</v>
      </c>
      <c r="Q298" s="292"/>
      <c r="R298" s="170"/>
      <c r="S298" s="389"/>
      <c r="T298" s="501" t="s">
        <v>2499</v>
      </c>
      <c r="U298" s="501" t="s">
        <v>2557</v>
      </c>
      <c r="W298" s="431" t="s">
        <v>1305</v>
      </c>
      <c r="X298" s="431" t="s">
        <v>3328</v>
      </c>
      <c r="AA298" s="26"/>
      <c r="AB298" s="26"/>
      <c r="AC298" s="931"/>
      <c r="AD298" s="512"/>
    </row>
    <row r="299" spans="6:30" ht="10.5" customHeight="1">
      <c r="F299" s="556"/>
      <c r="G299" s="1009" t="s">
        <v>1889</v>
      </c>
      <c r="H299" s="1009" t="s">
        <v>1196</v>
      </c>
      <c r="I299" s="1010" t="s">
        <v>1890</v>
      </c>
      <c r="J299" s="1013" t="s">
        <v>2578</v>
      </c>
      <c r="K299" s="1011" t="s">
        <v>1156</v>
      </c>
      <c r="L299" s="1012" t="s">
        <v>419</v>
      </c>
      <c r="M299" s="1098" t="s">
        <v>2565</v>
      </c>
      <c r="N299" s="1098" t="s">
        <v>1190</v>
      </c>
      <c r="O299" s="1287" t="s">
        <v>4223</v>
      </c>
      <c r="P299" s="554" t="s">
        <v>539</v>
      </c>
      <c r="Q299" s="292"/>
      <c r="R299" s="170"/>
      <c r="S299" s="389"/>
      <c r="T299" s="501" t="s">
        <v>595</v>
      </c>
      <c r="U299" s="501" t="s">
        <v>2154</v>
      </c>
      <c r="W299" s="431" t="s">
        <v>177</v>
      </c>
      <c r="X299" s="431" t="s">
        <v>3328</v>
      </c>
      <c r="AA299" s="26"/>
      <c r="AB299" s="26"/>
      <c r="AC299" s="931"/>
      <c r="AD299" s="512"/>
    </row>
    <row r="300" spans="6:30" ht="10.5" customHeight="1">
      <c r="F300" s="556"/>
      <c r="G300" s="1009" t="s">
        <v>1891</v>
      </c>
      <c r="H300" s="1009" t="s">
        <v>1196</v>
      </c>
      <c r="I300" s="1013" t="s">
        <v>1892</v>
      </c>
      <c r="J300" s="1010" t="s">
        <v>2578</v>
      </c>
      <c r="K300" s="1011" t="s">
        <v>1157</v>
      </c>
      <c r="L300" s="1012" t="s">
        <v>419</v>
      </c>
      <c r="M300" s="1098" t="s">
        <v>2565</v>
      </c>
      <c r="N300" s="1098" t="s">
        <v>1760</v>
      </c>
      <c r="O300" s="1287" t="s">
        <v>4224</v>
      </c>
      <c r="P300" s="554" t="s">
        <v>1143</v>
      </c>
      <c r="Q300" s="292"/>
      <c r="R300" s="170"/>
      <c r="S300" s="389"/>
      <c r="T300" s="501" t="s">
        <v>2798</v>
      </c>
      <c r="U300" s="501" t="s">
        <v>1088</v>
      </c>
      <c r="W300" s="431" t="s">
        <v>1556</v>
      </c>
      <c r="X300" s="431" t="s">
        <v>3328</v>
      </c>
      <c r="AA300" s="26"/>
      <c r="AB300" s="26"/>
      <c r="AC300" s="931"/>
      <c r="AD300" s="512"/>
    </row>
    <row r="301" spans="6:30" ht="10.5" customHeight="1">
      <c r="F301" s="556"/>
      <c r="G301" s="1009" t="s">
        <v>1893</v>
      </c>
      <c r="H301" s="1009" t="s">
        <v>1196</v>
      </c>
      <c r="I301" s="1013" t="s">
        <v>1305</v>
      </c>
      <c r="J301" s="1013" t="s">
        <v>2579</v>
      </c>
      <c r="K301" s="1011" t="s">
        <v>2546</v>
      </c>
      <c r="L301" s="1012" t="s">
        <v>420</v>
      </c>
      <c r="M301" s="1097" t="s">
        <v>2565</v>
      </c>
      <c r="N301" s="1098" t="s">
        <v>1305</v>
      </c>
      <c r="O301" s="1287" t="s">
        <v>4225</v>
      </c>
      <c r="P301" s="554" t="s">
        <v>736</v>
      </c>
      <c r="Q301" s="292"/>
      <c r="R301" s="170"/>
      <c r="S301" s="389"/>
      <c r="T301" s="501" t="s">
        <v>597</v>
      </c>
      <c r="U301" s="501" t="s">
        <v>1616</v>
      </c>
      <c r="W301" s="431" t="s">
        <v>374</v>
      </c>
      <c r="X301" s="431" t="s">
        <v>3328</v>
      </c>
      <c r="AA301" s="26"/>
      <c r="AB301" s="26"/>
      <c r="AC301" s="931"/>
      <c r="AD301" s="512"/>
    </row>
    <row r="302" spans="6:30" ht="10.5" customHeight="1">
      <c r="F302" s="556"/>
      <c r="G302" s="1009" t="s">
        <v>1894</v>
      </c>
      <c r="H302" s="1009" t="s">
        <v>1296</v>
      </c>
      <c r="I302" s="1013" t="s">
        <v>1895</v>
      </c>
      <c r="J302" s="1013" t="s">
        <v>2578</v>
      </c>
      <c r="K302" s="1011" t="s">
        <v>1158</v>
      </c>
      <c r="L302" s="1012" t="s">
        <v>419</v>
      </c>
      <c r="M302" s="1098" t="s">
        <v>2565</v>
      </c>
      <c r="N302" s="1097" t="s">
        <v>164</v>
      </c>
      <c r="O302" s="1287" t="s">
        <v>4226</v>
      </c>
      <c r="P302" s="554" t="s">
        <v>34</v>
      </c>
      <c r="Q302" s="292"/>
      <c r="R302" s="170"/>
      <c r="S302" s="389"/>
      <c r="T302" s="501" t="s">
        <v>538</v>
      </c>
      <c r="U302" s="501" t="s">
        <v>648</v>
      </c>
      <c r="W302" s="431" t="s">
        <v>376</v>
      </c>
      <c r="X302" s="431" t="s">
        <v>3328</v>
      </c>
      <c r="AA302" s="26"/>
      <c r="AB302" s="26"/>
      <c r="AC302" s="931"/>
      <c r="AD302" s="512"/>
    </row>
    <row r="303" spans="6:30" ht="10.5" customHeight="1">
      <c r="F303" s="556"/>
      <c r="G303" s="1009" t="s">
        <v>1979</v>
      </c>
      <c r="H303" s="1009" t="s">
        <v>1196</v>
      </c>
      <c r="I303" s="1010" t="s">
        <v>1980</v>
      </c>
      <c r="J303" s="1013" t="s">
        <v>2578</v>
      </c>
      <c r="K303" s="1011" t="s">
        <v>1159</v>
      </c>
      <c r="L303" s="1012" t="s">
        <v>419</v>
      </c>
      <c r="M303" s="1098" t="s">
        <v>2565</v>
      </c>
      <c r="N303" s="1098" t="s">
        <v>1190</v>
      </c>
      <c r="O303" s="1287" t="s">
        <v>4227</v>
      </c>
      <c r="P303" s="554" t="s">
        <v>1938</v>
      </c>
      <c r="Q303" s="292"/>
      <c r="R303" s="170"/>
      <c r="S303" s="389"/>
      <c r="T303" s="501" t="s">
        <v>540</v>
      </c>
      <c r="U303" s="501" t="s">
        <v>158</v>
      </c>
      <c r="W303" s="431" t="s">
        <v>1588</v>
      </c>
      <c r="X303" s="431" t="s">
        <v>3328</v>
      </c>
      <c r="AA303" s="26"/>
      <c r="AB303" s="26"/>
      <c r="AC303" s="931"/>
      <c r="AD303" s="512"/>
    </row>
    <row r="304" spans="6:30" ht="10.5" customHeight="1">
      <c r="F304" s="556"/>
      <c r="G304" s="1009" t="s">
        <v>1981</v>
      </c>
      <c r="H304" s="1009" t="s">
        <v>1296</v>
      </c>
      <c r="I304" s="1013" t="s">
        <v>1503</v>
      </c>
      <c r="J304" s="1010" t="s">
        <v>2579</v>
      </c>
      <c r="K304" s="1011" t="s">
        <v>1659</v>
      </c>
      <c r="L304" s="1012" t="s">
        <v>420</v>
      </c>
      <c r="M304" s="1097" t="s">
        <v>2565</v>
      </c>
      <c r="N304" s="1098" t="s">
        <v>1503</v>
      </c>
      <c r="O304" s="1287" t="s">
        <v>4228</v>
      </c>
      <c r="P304" s="554" t="s">
        <v>1940</v>
      </c>
      <c r="Q304" s="292"/>
      <c r="R304" s="170"/>
      <c r="S304" s="389"/>
      <c r="T304" s="501" t="s">
        <v>735</v>
      </c>
      <c r="U304" s="501" t="s">
        <v>1094</v>
      </c>
      <c r="W304" s="431" t="s">
        <v>1075</v>
      </c>
      <c r="X304" s="431" t="s">
        <v>3328</v>
      </c>
      <c r="AA304" s="26"/>
      <c r="AB304" s="26"/>
      <c r="AC304" s="931"/>
      <c r="AD304" s="512"/>
    </row>
    <row r="305" spans="6:30" ht="10.5" customHeight="1">
      <c r="F305" s="556"/>
      <c r="G305" s="1009" t="s">
        <v>1982</v>
      </c>
      <c r="H305" s="1009" t="s">
        <v>1296</v>
      </c>
      <c r="I305" s="1013" t="s">
        <v>753</v>
      </c>
      <c r="J305" s="1013" t="s">
        <v>2579</v>
      </c>
      <c r="K305" s="1011" t="s">
        <v>2543</v>
      </c>
      <c r="L305" s="1012" t="s">
        <v>420</v>
      </c>
      <c r="M305" s="1097" t="s">
        <v>1181</v>
      </c>
      <c r="N305" s="1097" t="s">
        <v>1190</v>
      </c>
      <c r="O305" s="1287" t="s">
        <v>4229</v>
      </c>
      <c r="P305" s="554" t="s">
        <v>331</v>
      </c>
      <c r="Q305" s="292"/>
      <c r="R305" s="170"/>
      <c r="S305" s="389"/>
      <c r="T305" s="501" t="s">
        <v>737</v>
      </c>
      <c r="U305" s="501" t="s">
        <v>119</v>
      </c>
      <c r="W305" s="431" t="s">
        <v>3323</v>
      </c>
      <c r="X305" s="431" t="s">
        <v>3328</v>
      </c>
      <c r="AA305" s="26"/>
      <c r="AB305" s="26"/>
      <c r="AC305" s="931"/>
      <c r="AD305" s="512"/>
    </row>
    <row r="306" spans="6:30" ht="10.5" customHeight="1">
      <c r="F306" s="556"/>
      <c r="G306" s="1009" t="s">
        <v>1983</v>
      </c>
      <c r="H306" s="1009" t="s">
        <v>1196</v>
      </c>
      <c r="I306" s="1013" t="s">
        <v>101</v>
      </c>
      <c r="J306" s="1013" t="s">
        <v>2578</v>
      </c>
      <c r="K306" s="1011" t="s">
        <v>1160</v>
      </c>
      <c r="L306" s="1012" t="s">
        <v>419</v>
      </c>
      <c r="M306" s="1098" t="s">
        <v>2565</v>
      </c>
      <c r="N306" s="1097" t="s">
        <v>1675</v>
      </c>
      <c r="O306" s="1287" t="s">
        <v>4230</v>
      </c>
      <c r="P306" s="554" t="s">
        <v>333</v>
      </c>
      <c r="Q306" s="292"/>
      <c r="R306" s="170"/>
      <c r="S306" s="389"/>
      <c r="T306" s="501" t="s">
        <v>35</v>
      </c>
      <c r="U306" s="501" t="s">
        <v>174</v>
      </c>
      <c r="W306" s="431" t="s">
        <v>3324</v>
      </c>
      <c r="X306" s="431" t="s">
        <v>3328</v>
      </c>
      <c r="AA306" s="26"/>
      <c r="AB306" s="26"/>
      <c r="AC306" s="931"/>
      <c r="AD306" s="512"/>
    </row>
    <row r="307" spans="6:30" ht="10.5" customHeight="1">
      <c r="F307" s="556"/>
      <c r="G307" s="1009" t="s">
        <v>102</v>
      </c>
      <c r="H307" s="1009" t="s">
        <v>1296</v>
      </c>
      <c r="I307" s="1013" t="s">
        <v>103</v>
      </c>
      <c r="J307" s="1013" t="s">
        <v>2578</v>
      </c>
      <c r="K307" s="1011" t="s">
        <v>1161</v>
      </c>
      <c r="L307" s="1012" t="s">
        <v>419</v>
      </c>
      <c r="M307" s="1098" t="s">
        <v>2565</v>
      </c>
      <c r="N307" s="1098" t="s">
        <v>1315</v>
      </c>
      <c r="O307" s="1287" t="s">
        <v>4231</v>
      </c>
      <c r="P307" s="554" t="s">
        <v>335</v>
      </c>
      <c r="Q307" s="292"/>
      <c r="R307" s="170"/>
      <c r="S307" s="389"/>
      <c r="T307" s="501" t="s">
        <v>1939</v>
      </c>
      <c r="U307" s="501" t="s">
        <v>2216</v>
      </c>
      <c r="W307" s="431" t="s">
        <v>513</v>
      </c>
      <c r="X307" s="431" t="s">
        <v>3328</v>
      </c>
      <c r="AA307" s="26"/>
      <c r="AB307" s="26"/>
      <c r="AC307" s="931"/>
      <c r="AD307" s="512"/>
    </row>
    <row r="308" spans="6:30" ht="10.5" customHeight="1">
      <c r="F308" s="556"/>
      <c r="G308" s="1009" t="s">
        <v>104</v>
      </c>
      <c r="H308" s="1009" t="s">
        <v>1196</v>
      </c>
      <c r="I308" s="1013" t="s">
        <v>105</v>
      </c>
      <c r="J308" s="1013" t="s">
        <v>2578</v>
      </c>
      <c r="K308" s="1011" t="s">
        <v>1162</v>
      </c>
      <c r="L308" s="1012" t="s">
        <v>419</v>
      </c>
      <c r="M308" s="1098" t="s">
        <v>2565</v>
      </c>
      <c r="N308" s="1098" t="s">
        <v>1305</v>
      </c>
      <c r="O308" s="1287" t="s">
        <v>4232</v>
      </c>
      <c r="P308" s="554" t="s">
        <v>337</v>
      </c>
      <c r="Q308" s="292"/>
      <c r="R308" s="170"/>
      <c r="S308" s="389"/>
      <c r="T308" s="501" t="s">
        <v>1941</v>
      </c>
      <c r="U308" s="501" t="s">
        <v>2558</v>
      </c>
      <c r="W308" s="431" t="s">
        <v>515</v>
      </c>
      <c r="X308" s="431" t="s">
        <v>3328</v>
      </c>
      <c r="AA308" s="26"/>
      <c r="AB308" s="26"/>
      <c r="AC308" s="931"/>
      <c r="AD308" s="512"/>
    </row>
    <row r="309" spans="6:30" ht="10.5" customHeight="1">
      <c r="F309" s="556"/>
      <c r="G309" s="1009" t="s">
        <v>106</v>
      </c>
      <c r="H309" s="1009" t="s">
        <v>1196</v>
      </c>
      <c r="I309" s="1013" t="s">
        <v>107</v>
      </c>
      <c r="J309" s="1013" t="s">
        <v>2578</v>
      </c>
      <c r="K309" s="1011" t="s">
        <v>1163</v>
      </c>
      <c r="L309" s="1012" t="s">
        <v>419</v>
      </c>
      <c r="M309" s="1098" t="s">
        <v>2565</v>
      </c>
      <c r="N309" s="1098" t="s">
        <v>1311</v>
      </c>
      <c r="O309" s="1287" t="s">
        <v>4233</v>
      </c>
      <c r="P309" s="554" t="s">
        <v>339</v>
      </c>
      <c r="Q309" s="292"/>
      <c r="R309" s="170"/>
      <c r="S309" s="389"/>
      <c r="T309" s="501" t="s">
        <v>332</v>
      </c>
      <c r="U309" s="501" t="s">
        <v>1924</v>
      </c>
      <c r="W309" s="431" t="s">
        <v>521</v>
      </c>
      <c r="X309" s="431" t="s">
        <v>3328</v>
      </c>
      <c r="AA309" s="26"/>
      <c r="AB309" s="26"/>
      <c r="AC309" s="931"/>
      <c r="AD309" s="512"/>
    </row>
    <row r="310" spans="6:30" ht="10.5" customHeight="1">
      <c r="F310" s="556"/>
      <c r="G310" s="1009" t="s">
        <v>108</v>
      </c>
      <c r="H310" s="1009" t="s">
        <v>1196</v>
      </c>
      <c r="I310" s="1013" t="s">
        <v>109</v>
      </c>
      <c r="J310" s="1013" t="s">
        <v>2578</v>
      </c>
      <c r="K310" s="1011" t="s">
        <v>1164</v>
      </c>
      <c r="L310" s="1012" t="s">
        <v>419</v>
      </c>
      <c r="M310" s="1098" t="s">
        <v>2565</v>
      </c>
      <c r="N310" s="1098" t="s">
        <v>159</v>
      </c>
      <c r="O310" s="1287" t="s">
        <v>4234</v>
      </c>
      <c r="P310" s="554" t="s">
        <v>341</v>
      </c>
      <c r="Q310" s="292"/>
      <c r="R310" s="170"/>
      <c r="S310" s="389"/>
      <c r="T310" s="501" t="s">
        <v>334</v>
      </c>
      <c r="U310" s="501" t="s">
        <v>861</v>
      </c>
      <c r="W310" s="431" t="s">
        <v>534</v>
      </c>
      <c r="X310" s="431" t="s">
        <v>3328</v>
      </c>
      <c r="AA310" s="26"/>
      <c r="AB310" s="26"/>
      <c r="AC310" s="931"/>
      <c r="AD310" s="512"/>
    </row>
    <row r="311" spans="6:30" ht="10.5" customHeight="1">
      <c r="F311" s="556"/>
      <c r="G311" s="1009" t="s">
        <v>110</v>
      </c>
      <c r="H311" s="1009" t="s">
        <v>1196</v>
      </c>
      <c r="I311" s="1013" t="s">
        <v>111</v>
      </c>
      <c r="J311" s="1013" t="s">
        <v>2578</v>
      </c>
      <c r="K311" s="1011" t="s">
        <v>2328</v>
      </c>
      <c r="L311" s="1012" t="s">
        <v>419</v>
      </c>
      <c r="M311" s="1098" t="s">
        <v>2565</v>
      </c>
      <c r="N311" s="1098" t="s">
        <v>1305</v>
      </c>
      <c r="O311" s="1287" t="s">
        <v>4235</v>
      </c>
      <c r="P311" s="554" t="s">
        <v>1914</v>
      </c>
      <c r="Q311" s="292"/>
      <c r="R311" s="170"/>
      <c r="S311" s="389"/>
      <c r="T311" s="501" t="s">
        <v>336</v>
      </c>
      <c r="U311" s="501" t="s">
        <v>177</v>
      </c>
      <c r="W311" s="431" t="s">
        <v>1616</v>
      </c>
      <c r="X311" s="431" t="s">
        <v>3328</v>
      </c>
      <c r="AA311" s="26"/>
      <c r="AB311" s="26"/>
      <c r="AC311" s="931"/>
      <c r="AD311" s="512"/>
    </row>
    <row r="312" spans="6:30" ht="10.5" customHeight="1">
      <c r="F312" s="556"/>
      <c r="G312" s="1009" t="s">
        <v>112</v>
      </c>
      <c r="H312" s="1009" t="s">
        <v>1296</v>
      </c>
      <c r="I312" s="1013" t="s">
        <v>113</v>
      </c>
      <c r="J312" s="1013" t="s">
        <v>2578</v>
      </c>
      <c r="K312" s="1011" t="s">
        <v>2329</v>
      </c>
      <c r="L312" s="1012" t="s">
        <v>419</v>
      </c>
      <c r="M312" s="1098" t="s">
        <v>2565</v>
      </c>
      <c r="N312" s="1098" t="s">
        <v>164</v>
      </c>
      <c r="O312" s="1287" t="s">
        <v>4236</v>
      </c>
      <c r="P312" s="554" t="s">
        <v>1916</v>
      </c>
      <c r="Q312" s="292"/>
      <c r="R312" s="170"/>
      <c r="S312" s="389"/>
      <c r="T312" s="501" t="s">
        <v>338</v>
      </c>
      <c r="U312" s="501" t="s">
        <v>2368</v>
      </c>
      <c r="W312" s="431" t="s">
        <v>2069</v>
      </c>
      <c r="X312" s="431" t="s">
        <v>3328</v>
      </c>
      <c r="AA312" s="26"/>
      <c r="AB312" s="26"/>
      <c r="AC312" s="931"/>
      <c r="AD312" s="512"/>
    </row>
    <row r="313" spans="6:30" ht="10.5" customHeight="1">
      <c r="F313" s="556"/>
      <c r="G313" s="1009" t="s">
        <v>1924</v>
      </c>
      <c r="H313" s="1009" t="s">
        <v>1296</v>
      </c>
      <c r="I313" s="1010" t="s">
        <v>332</v>
      </c>
      <c r="J313" s="1013" t="s">
        <v>2579</v>
      </c>
      <c r="K313" s="1011" t="s">
        <v>2330</v>
      </c>
      <c r="L313" s="1012" t="s">
        <v>420</v>
      </c>
      <c r="M313" s="1098" t="s">
        <v>1181</v>
      </c>
      <c r="N313" s="1098" t="s">
        <v>1503</v>
      </c>
      <c r="O313" s="1287" t="s">
        <v>4237</v>
      </c>
      <c r="P313" s="554" t="s">
        <v>2127</v>
      </c>
      <c r="Q313" s="292"/>
      <c r="R313" s="170"/>
      <c r="S313" s="389"/>
      <c r="T313" s="555" t="s">
        <v>340</v>
      </c>
      <c r="U313" s="555" t="s">
        <v>1851</v>
      </c>
      <c r="W313" s="431" t="s">
        <v>3325</v>
      </c>
      <c r="X313" s="431" t="s">
        <v>3328</v>
      </c>
      <c r="AA313" s="26"/>
      <c r="AB313" s="26"/>
      <c r="AC313" s="931"/>
      <c r="AD313" s="512"/>
    </row>
    <row r="314" spans="6:30" ht="10.5" customHeight="1">
      <c r="F314" s="556"/>
      <c r="G314" s="1009" t="s">
        <v>1925</v>
      </c>
      <c r="H314" s="1009" t="s">
        <v>1196</v>
      </c>
      <c r="I314" s="1013" t="s">
        <v>2365</v>
      </c>
      <c r="J314" s="1010" t="s">
        <v>2578</v>
      </c>
      <c r="K314" s="1011" t="s">
        <v>2331</v>
      </c>
      <c r="L314" s="1012" t="s">
        <v>419</v>
      </c>
      <c r="M314" s="1098" t="s">
        <v>2565</v>
      </c>
      <c r="N314" s="1098" t="s">
        <v>1760</v>
      </c>
      <c r="O314" s="1287" t="s">
        <v>4238</v>
      </c>
      <c r="P314" s="554" t="s">
        <v>151</v>
      </c>
      <c r="Q314" s="292"/>
      <c r="R314" s="170"/>
      <c r="S314" s="389"/>
      <c r="T314" s="501" t="s">
        <v>342</v>
      </c>
      <c r="U314" s="501" t="s">
        <v>173</v>
      </c>
      <c r="W314" s="431" t="s">
        <v>2220</v>
      </c>
      <c r="X314" s="431" t="s">
        <v>3328</v>
      </c>
      <c r="AA314" s="26"/>
      <c r="AB314" s="26"/>
      <c r="AC314" s="932"/>
      <c r="AD314" s="512"/>
    </row>
    <row r="315" spans="6:30" ht="10.5" customHeight="1">
      <c r="F315" s="556"/>
      <c r="G315" s="1009" t="s">
        <v>2366</v>
      </c>
      <c r="H315" s="1009" t="s">
        <v>1296</v>
      </c>
      <c r="I315" s="1013" t="s">
        <v>2367</v>
      </c>
      <c r="J315" s="1013" t="s">
        <v>2578</v>
      </c>
      <c r="K315" s="1011" t="s">
        <v>417</v>
      </c>
      <c r="L315" s="1012" t="s">
        <v>419</v>
      </c>
      <c r="M315" s="1098" t="s">
        <v>2565</v>
      </c>
      <c r="N315" s="1098" t="s">
        <v>1315</v>
      </c>
      <c r="O315" s="1287" t="s">
        <v>4239</v>
      </c>
      <c r="P315" s="554" t="s">
        <v>152</v>
      </c>
      <c r="Q315" s="292"/>
      <c r="R315" s="170"/>
      <c r="S315" s="389"/>
      <c r="T315" s="501" t="s">
        <v>1915</v>
      </c>
      <c r="U315" s="501" t="s">
        <v>104</v>
      </c>
      <c r="W315" s="431" t="s">
        <v>394</v>
      </c>
      <c r="X315" s="431" t="s">
        <v>3328</v>
      </c>
      <c r="AA315" s="26"/>
      <c r="AB315" s="26"/>
      <c r="AC315" s="931"/>
      <c r="AD315" s="512"/>
    </row>
    <row r="316" spans="6:30" ht="10.5" customHeight="1">
      <c r="F316" s="556"/>
      <c r="G316" s="1009" t="s">
        <v>2368</v>
      </c>
      <c r="H316" s="1009" t="s">
        <v>1196</v>
      </c>
      <c r="I316" s="1013" t="s">
        <v>2369</v>
      </c>
      <c r="J316" s="1013" t="s">
        <v>2578</v>
      </c>
      <c r="K316" s="1011" t="s">
        <v>418</v>
      </c>
      <c r="L316" s="1012" t="s">
        <v>419</v>
      </c>
      <c r="M316" s="1098" t="s">
        <v>2565</v>
      </c>
      <c r="N316" s="1098" t="s">
        <v>1305</v>
      </c>
      <c r="O316" s="1287" t="s">
        <v>4240</v>
      </c>
      <c r="P316" s="554" t="s">
        <v>1561</v>
      </c>
      <c r="Q316" s="292"/>
      <c r="R316" s="170"/>
      <c r="S316" s="389"/>
      <c r="T316" s="501" t="s">
        <v>193</v>
      </c>
      <c r="U316" s="501" t="s">
        <v>1646</v>
      </c>
      <c r="W316" s="431" t="s">
        <v>1815</v>
      </c>
      <c r="X316" s="431" t="s">
        <v>3328</v>
      </c>
      <c r="AA316" s="26"/>
      <c r="AB316" s="26"/>
      <c r="AC316" s="931"/>
      <c r="AD316" s="512"/>
    </row>
    <row r="317" spans="6:30" ht="10.5" customHeight="1">
      <c r="F317" s="332"/>
      <c r="G317" s="1009" t="s">
        <v>2370</v>
      </c>
      <c r="H317" s="1009" t="s">
        <v>1196</v>
      </c>
      <c r="I317" s="1013" t="s">
        <v>1760</v>
      </c>
      <c r="J317" s="1013" t="s">
        <v>2579</v>
      </c>
      <c r="K317" s="1011" t="s">
        <v>1148</v>
      </c>
      <c r="L317" s="1012" t="s">
        <v>420</v>
      </c>
      <c r="M317" s="1097" t="s">
        <v>2565</v>
      </c>
      <c r="N317" s="1098" t="s">
        <v>1760</v>
      </c>
      <c r="O317" s="1287" t="s">
        <v>4241</v>
      </c>
      <c r="P317" s="554" t="s">
        <v>778</v>
      </c>
      <c r="Q317" s="292"/>
      <c r="R317" s="170"/>
      <c r="S317" s="389"/>
      <c r="T317" s="501" t="s">
        <v>2128</v>
      </c>
      <c r="U317" s="501" t="s">
        <v>193</v>
      </c>
      <c r="W317" s="431" t="s">
        <v>2243</v>
      </c>
      <c r="X317" s="431" t="s">
        <v>3328</v>
      </c>
      <c r="AA317" s="26"/>
      <c r="AB317" s="26"/>
      <c r="AC317" s="931"/>
      <c r="AD317" s="512"/>
    </row>
    <row r="318" spans="6:30" ht="10.5" customHeight="1">
      <c r="F318" s="332"/>
      <c r="G318" s="312"/>
      <c r="H318" s="312"/>
      <c r="I318" s="312"/>
      <c r="J318" s="378"/>
      <c r="K318" s="312"/>
      <c r="L318" s="312"/>
      <c r="M318" s="366"/>
      <c r="N318" s="366"/>
      <c r="O318" s="366"/>
      <c r="P318" s="554" t="s">
        <v>780</v>
      </c>
      <c r="Q318" s="292"/>
      <c r="R318" s="170"/>
      <c r="S318" s="389"/>
      <c r="T318" s="501" t="s">
        <v>678</v>
      </c>
      <c r="U318" s="501" t="s">
        <v>2150</v>
      </c>
      <c r="W318" s="431" t="s">
        <v>552</v>
      </c>
      <c r="X318" s="431" t="s">
        <v>3328</v>
      </c>
      <c r="AA318" s="26"/>
      <c r="AB318" s="26"/>
      <c r="AC318" s="931"/>
      <c r="AD318" s="512"/>
    </row>
    <row r="319" spans="6:30" ht="10.5" customHeight="1">
      <c r="F319" s="332"/>
      <c r="G319" s="312"/>
      <c r="H319" s="312"/>
      <c r="I319" s="312"/>
      <c r="J319" s="312"/>
      <c r="K319" s="312"/>
      <c r="L319" s="312"/>
      <c r="M319" s="312"/>
      <c r="N319" s="366"/>
      <c r="O319" s="366"/>
      <c r="P319" s="554" t="s">
        <v>782</v>
      </c>
      <c r="Q319" s="292"/>
      <c r="R319" s="170"/>
      <c r="S319" s="389"/>
      <c r="T319" s="555" t="s">
        <v>153</v>
      </c>
      <c r="U319" s="555" t="s">
        <v>1850</v>
      </c>
      <c r="W319" s="431" t="s">
        <v>1435</v>
      </c>
      <c r="X319" s="431" t="s">
        <v>3328</v>
      </c>
      <c r="AA319" s="26"/>
      <c r="AB319" s="26"/>
      <c r="AC319" s="931"/>
      <c r="AD319" s="512"/>
    </row>
    <row r="320" spans="6:30" ht="10.5" customHeight="1">
      <c r="F320" s="332"/>
      <c r="G320" s="312"/>
      <c r="H320" s="312"/>
      <c r="I320" s="312"/>
      <c r="J320" s="312"/>
      <c r="K320" s="312"/>
      <c r="L320" s="312"/>
      <c r="M320" s="312"/>
      <c r="N320" s="312"/>
      <c r="O320" s="312"/>
      <c r="P320" s="554" t="s">
        <v>2390</v>
      </c>
      <c r="Q320" s="292"/>
      <c r="R320" s="170"/>
      <c r="S320" s="389"/>
      <c r="T320" s="501" t="s">
        <v>194</v>
      </c>
      <c r="U320" s="501" t="s">
        <v>617</v>
      </c>
      <c r="W320" s="431" t="s">
        <v>1563</v>
      </c>
      <c r="X320" s="431" t="s">
        <v>3328</v>
      </c>
      <c r="AA320" s="26"/>
      <c r="AB320" s="26"/>
      <c r="AC320" s="932"/>
      <c r="AD320" s="512"/>
    </row>
    <row r="321" spans="6:30" ht="10.5" customHeight="1">
      <c r="F321" s="332"/>
      <c r="G321" s="312"/>
      <c r="H321" s="312"/>
      <c r="I321" s="312"/>
      <c r="J321" s="312"/>
      <c r="K321" s="312"/>
      <c r="L321" s="312"/>
      <c r="M321" s="312"/>
      <c r="N321" s="312"/>
      <c r="O321" s="312"/>
      <c r="P321" s="554" t="s">
        <v>2391</v>
      </c>
      <c r="Q321" s="292"/>
      <c r="R321" s="170"/>
      <c r="S321" s="389"/>
      <c r="T321" s="501" t="s">
        <v>2535</v>
      </c>
      <c r="U321" s="501" t="s">
        <v>1983</v>
      </c>
      <c r="W321" s="431" t="s">
        <v>2093</v>
      </c>
      <c r="X321" s="431" t="s">
        <v>3328</v>
      </c>
      <c r="AA321" s="26"/>
      <c r="AB321" s="26"/>
      <c r="AC321" s="931"/>
      <c r="AD321" s="512"/>
    </row>
    <row r="322" spans="6:30" ht="10.5" customHeight="1">
      <c r="F322" s="332"/>
      <c r="G322" s="312"/>
      <c r="H322" s="312"/>
      <c r="I322" s="312"/>
      <c r="J322" s="312"/>
      <c r="K322" s="312"/>
      <c r="L322" s="312"/>
      <c r="M322" s="312"/>
      <c r="N322" s="312"/>
      <c r="O322" s="312"/>
      <c r="P322" s="554" t="s">
        <v>2393</v>
      </c>
      <c r="Q322" s="292"/>
      <c r="R322" s="170"/>
      <c r="S322" s="389"/>
      <c r="T322" s="501" t="s">
        <v>779</v>
      </c>
      <c r="U322" s="501" t="s">
        <v>104</v>
      </c>
      <c r="W322" s="431" t="s">
        <v>2095</v>
      </c>
      <c r="X322" s="431" t="s">
        <v>3328</v>
      </c>
      <c r="AA322" s="26"/>
      <c r="AB322" s="26"/>
      <c r="AC322" s="931"/>
      <c r="AD322" s="512"/>
    </row>
    <row r="323" spans="6:30" ht="10.5" customHeight="1">
      <c r="F323" s="332"/>
      <c r="G323" s="312"/>
      <c r="H323" s="312"/>
      <c r="I323" s="312"/>
      <c r="J323" s="312"/>
      <c r="K323" s="312"/>
      <c r="L323" s="312"/>
      <c r="M323" s="312"/>
      <c r="N323" s="312"/>
      <c r="O323" s="312"/>
      <c r="P323" s="554" t="s">
        <v>2395</v>
      </c>
      <c r="Q323" s="292"/>
      <c r="R323" s="170"/>
      <c r="S323" s="389"/>
      <c r="T323" s="501" t="s">
        <v>781</v>
      </c>
      <c r="U323" s="501" t="s">
        <v>120</v>
      </c>
      <c r="W323" s="431" t="s">
        <v>1425</v>
      </c>
      <c r="X323" s="431" t="s">
        <v>3328</v>
      </c>
      <c r="AA323" s="26"/>
      <c r="AB323" s="26"/>
      <c r="AC323" s="931"/>
      <c r="AD323" s="512"/>
    </row>
    <row r="324" spans="6:30" ht="10.5" customHeight="1">
      <c r="F324" s="332"/>
      <c r="G324" s="312"/>
      <c r="H324" s="312"/>
      <c r="I324" s="312"/>
      <c r="J324" s="312"/>
      <c r="K324" s="312"/>
      <c r="L324" s="312"/>
      <c r="M324" s="312"/>
      <c r="N324" s="312"/>
      <c r="O324" s="312"/>
      <c r="P324" s="554" t="s">
        <v>2396</v>
      </c>
      <c r="Q324" s="292"/>
      <c r="R324" s="170"/>
      <c r="S324" s="389"/>
      <c r="T324" s="501" t="s">
        <v>783</v>
      </c>
      <c r="U324" s="501" t="s">
        <v>323</v>
      </c>
      <c r="W324" s="431" t="s">
        <v>1537</v>
      </c>
      <c r="X324" s="431" t="s">
        <v>3328</v>
      </c>
      <c r="AA324" s="26"/>
      <c r="AB324" s="26"/>
      <c r="AC324" s="931"/>
      <c r="AD324" s="512"/>
    </row>
    <row r="325" spans="6:30" ht="10.5" customHeight="1">
      <c r="F325" s="332"/>
      <c r="G325" s="312"/>
      <c r="H325" s="312"/>
      <c r="I325" s="312"/>
      <c r="J325" s="312"/>
      <c r="K325" s="312"/>
      <c r="L325" s="312"/>
      <c r="M325" s="312"/>
      <c r="N325" s="312"/>
      <c r="O325" s="312"/>
      <c r="P325" s="554" t="s">
        <v>378</v>
      </c>
      <c r="Q325" s="292"/>
      <c r="R325" s="170"/>
      <c r="S325" s="389"/>
      <c r="T325" s="501" t="s">
        <v>2799</v>
      </c>
      <c r="U325" s="501" t="s">
        <v>865</v>
      </c>
      <c r="W325" s="431" t="s">
        <v>1168</v>
      </c>
      <c r="X325" s="431" t="s">
        <v>3328</v>
      </c>
      <c r="AA325" s="26"/>
      <c r="AB325" s="26"/>
      <c r="AC325" s="931"/>
      <c r="AD325" s="512"/>
    </row>
    <row r="326" spans="6:30" ht="10.5" customHeight="1">
      <c r="F326" s="332"/>
      <c r="G326" s="312"/>
      <c r="H326" s="312"/>
      <c r="I326" s="312"/>
      <c r="J326" s="312"/>
      <c r="K326" s="312"/>
      <c r="L326" s="312"/>
      <c r="M326" s="312"/>
      <c r="N326" s="312"/>
      <c r="O326" s="312"/>
      <c r="P326" s="554" t="s">
        <v>45</v>
      </c>
      <c r="Q326" s="292"/>
      <c r="R326" s="170"/>
      <c r="S326" s="389"/>
      <c r="T326" s="555" t="s">
        <v>2392</v>
      </c>
      <c r="U326" s="555" t="s">
        <v>1437</v>
      </c>
      <c r="W326" s="431" t="s">
        <v>1729</v>
      </c>
      <c r="X326" s="431" t="s">
        <v>3328</v>
      </c>
      <c r="AA326" s="26"/>
      <c r="AB326" s="26"/>
      <c r="AC326" s="931"/>
      <c r="AD326" s="512"/>
    </row>
    <row r="327" spans="6:30" ht="10.5" customHeight="1">
      <c r="F327" s="332"/>
      <c r="G327" s="312"/>
      <c r="H327" s="312"/>
      <c r="I327" s="312"/>
      <c r="J327" s="312"/>
      <c r="K327" s="312"/>
      <c r="L327" s="312"/>
      <c r="M327" s="312"/>
      <c r="N327" s="312"/>
      <c r="O327" s="312"/>
      <c r="P327" s="554" t="s">
        <v>47</v>
      </c>
      <c r="Q327" s="292"/>
      <c r="R327" s="170"/>
      <c r="S327" s="389"/>
      <c r="T327" s="501" t="s">
        <v>2394</v>
      </c>
      <c r="U327" s="501" t="s">
        <v>1092</v>
      </c>
      <c r="W327" s="431" t="s">
        <v>1791</v>
      </c>
      <c r="X327" s="431" t="s">
        <v>3328</v>
      </c>
      <c r="AA327" s="26"/>
      <c r="AB327" s="26"/>
      <c r="AC327" s="932"/>
      <c r="AD327" s="512"/>
    </row>
    <row r="328" spans="6:30" ht="10.5" customHeight="1">
      <c r="F328" s="332"/>
      <c r="G328" s="312"/>
      <c r="H328" s="312"/>
      <c r="I328" s="312"/>
      <c r="J328" s="312"/>
      <c r="K328" s="312"/>
      <c r="L328" s="312"/>
      <c r="M328" s="312"/>
      <c r="N328" s="312"/>
      <c r="O328" s="312"/>
      <c r="P328" s="554" t="s">
        <v>1896</v>
      </c>
      <c r="Q328" s="292"/>
      <c r="R328" s="170"/>
      <c r="S328" s="389"/>
      <c r="T328" s="501" t="s">
        <v>2536</v>
      </c>
      <c r="U328" s="501" t="s">
        <v>655</v>
      </c>
      <c r="W328" s="431" t="s">
        <v>1090</v>
      </c>
      <c r="X328" s="431" t="s">
        <v>3328</v>
      </c>
      <c r="AA328" s="26"/>
      <c r="AB328" s="26"/>
      <c r="AC328" s="931"/>
      <c r="AD328" s="512"/>
    </row>
    <row r="329" spans="6:30" ht="10.5" customHeight="1">
      <c r="F329" s="332"/>
      <c r="G329" s="312"/>
      <c r="H329" s="312"/>
      <c r="I329" s="312"/>
      <c r="J329" s="312"/>
      <c r="K329" s="312"/>
      <c r="L329" s="312"/>
      <c r="M329" s="312"/>
      <c r="N329" s="312"/>
      <c r="O329" s="312"/>
      <c r="P329" s="554" t="s">
        <v>1897</v>
      </c>
      <c r="Q329" s="292"/>
      <c r="R329" s="170"/>
      <c r="S329" s="389"/>
      <c r="T329" s="501" t="s">
        <v>377</v>
      </c>
      <c r="U329" s="501" t="s">
        <v>2457</v>
      </c>
      <c r="W329" s="431" t="s">
        <v>3326</v>
      </c>
      <c r="X329" s="431" t="s">
        <v>3328</v>
      </c>
      <c r="AA329" s="26"/>
      <c r="AB329" s="26"/>
      <c r="AC329" s="931"/>
      <c r="AD329" s="512"/>
    </row>
    <row r="330" spans="6:30" ht="10.5" customHeight="1">
      <c r="F330" s="332"/>
      <c r="G330" s="312"/>
      <c r="H330" s="312"/>
      <c r="I330" s="312"/>
      <c r="J330" s="312"/>
      <c r="K330" s="312"/>
      <c r="L330" s="312"/>
      <c r="M330" s="312"/>
      <c r="N330" s="312"/>
      <c r="O330" s="312"/>
      <c r="P330" s="554" t="s">
        <v>1899</v>
      </c>
      <c r="Q330" s="292"/>
      <c r="R330" s="170"/>
      <c r="S330" s="389"/>
      <c r="T330" s="557" t="s">
        <v>379</v>
      </c>
      <c r="U330" s="501" t="s">
        <v>2143</v>
      </c>
      <c r="W330" s="431" t="s">
        <v>2117</v>
      </c>
      <c r="X330" s="431" t="s">
        <v>3328</v>
      </c>
      <c r="AA330" s="26"/>
      <c r="AB330" s="26"/>
      <c r="AC330" s="931"/>
      <c r="AD330" s="512"/>
    </row>
    <row r="331" spans="6:30" ht="10.5" customHeight="1">
      <c r="F331" s="332"/>
      <c r="G331" s="312"/>
      <c r="H331" s="312"/>
      <c r="I331" s="312"/>
      <c r="J331" s="312"/>
      <c r="K331" s="312"/>
      <c r="L331" s="312"/>
      <c r="M331" s="312"/>
      <c r="N331" s="312"/>
      <c r="O331" s="312"/>
      <c r="P331" s="554" t="s">
        <v>1900</v>
      </c>
      <c r="Q331" s="292"/>
      <c r="R331" s="170"/>
      <c r="S331" s="389"/>
      <c r="T331" s="501" t="s">
        <v>46</v>
      </c>
      <c r="U331" s="501" t="s">
        <v>940</v>
      </c>
      <c r="W331" s="431" t="s">
        <v>1501</v>
      </c>
      <c r="X331" s="431" t="s">
        <v>3328</v>
      </c>
      <c r="AA331" s="26"/>
      <c r="AB331" s="26"/>
      <c r="AC331" s="933"/>
      <c r="AD331" s="512"/>
    </row>
    <row r="332" spans="6:30" ht="10.5" customHeight="1">
      <c r="F332" s="332"/>
      <c r="G332" s="312"/>
      <c r="H332" s="312"/>
      <c r="I332" s="312"/>
      <c r="J332" s="312"/>
      <c r="K332" s="312"/>
      <c r="L332" s="312"/>
      <c r="M332" s="312"/>
      <c r="N332" s="312"/>
      <c r="O332" s="312"/>
      <c r="P332" s="554" t="s">
        <v>1901</v>
      </c>
      <c r="Q332" s="292"/>
      <c r="R332" s="170"/>
      <c r="S332" s="389"/>
      <c r="T332" s="501" t="s">
        <v>48</v>
      </c>
      <c r="U332" s="501" t="s">
        <v>617</v>
      </c>
      <c r="W332" s="431" t="s">
        <v>61</v>
      </c>
      <c r="X332" s="431" t="s">
        <v>3328</v>
      </c>
      <c r="AA332" s="26"/>
      <c r="AB332" s="26"/>
      <c r="AC332" s="931"/>
      <c r="AD332" s="512"/>
    </row>
    <row r="333" spans="6:30" ht="10.5" customHeight="1">
      <c r="F333" s="332"/>
      <c r="G333" s="312"/>
      <c r="H333" s="312"/>
      <c r="I333" s="312"/>
      <c r="J333" s="312"/>
      <c r="K333" s="312"/>
      <c r="L333" s="312"/>
      <c r="M333" s="312"/>
      <c r="N333" s="312"/>
      <c r="O333" s="312"/>
      <c r="P333" s="554" t="s">
        <v>1903</v>
      </c>
      <c r="Q333" s="292"/>
      <c r="R333" s="170"/>
      <c r="S333" s="389"/>
      <c r="T333" s="501" t="s">
        <v>860</v>
      </c>
      <c r="U333" s="501" t="s">
        <v>2455</v>
      </c>
      <c r="W333" s="431" t="s">
        <v>65</v>
      </c>
      <c r="X333" s="431" t="s">
        <v>3328</v>
      </c>
      <c r="AA333" s="26"/>
      <c r="AB333" s="26"/>
      <c r="AC333" s="931"/>
      <c r="AD333" s="512"/>
    </row>
    <row r="334" spans="6:30" ht="10.5" customHeight="1">
      <c r="F334" s="332"/>
      <c r="G334" s="312"/>
      <c r="H334" s="312"/>
      <c r="I334" s="312"/>
      <c r="J334" s="312"/>
      <c r="K334" s="312"/>
      <c r="L334" s="312"/>
      <c r="M334" s="312"/>
      <c r="N334" s="312"/>
      <c r="O334" s="312"/>
      <c r="P334" s="554" t="s">
        <v>705</v>
      </c>
      <c r="Q334" s="292"/>
      <c r="R334" s="170"/>
      <c r="S334" s="389"/>
      <c r="T334" s="555" t="s">
        <v>1898</v>
      </c>
      <c r="U334" s="555" t="s">
        <v>860</v>
      </c>
      <c r="W334" s="431" t="s">
        <v>67</v>
      </c>
      <c r="X334" s="431" t="s">
        <v>3328</v>
      </c>
      <c r="AA334" s="26"/>
      <c r="AB334" s="26"/>
      <c r="AC334" s="931"/>
      <c r="AD334" s="512"/>
    </row>
    <row r="335" spans="6:30" ht="10.5" customHeight="1">
      <c r="F335" s="332"/>
      <c r="G335" s="312"/>
      <c r="H335" s="312"/>
      <c r="I335" s="312"/>
      <c r="J335" s="312"/>
      <c r="K335" s="312"/>
      <c r="L335" s="312"/>
      <c r="M335" s="312"/>
      <c r="N335" s="312"/>
      <c r="O335" s="312"/>
      <c r="P335" s="554" t="s">
        <v>1126</v>
      </c>
      <c r="Q335" s="292"/>
      <c r="R335" s="170"/>
      <c r="S335" s="389"/>
      <c r="T335" s="555" t="s">
        <v>2537</v>
      </c>
      <c r="U335" s="555" t="s">
        <v>617</v>
      </c>
      <c r="W335" s="431" t="s">
        <v>765</v>
      </c>
      <c r="X335" s="431" t="s">
        <v>3328</v>
      </c>
      <c r="AA335" s="26"/>
      <c r="AB335" s="26"/>
      <c r="AC335" s="932"/>
      <c r="AD335" s="512"/>
    </row>
    <row r="336" spans="6:30" ht="10.5" customHeight="1">
      <c r="F336" s="332"/>
      <c r="G336" s="312"/>
      <c r="H336" s="312"/>
      <c r="I336" s="312"/>
      <c r="J336" s="312"/>
      <c r="K336" s="312"/>
      <c r="L336" s="312"/>
      <c r="M336" s="312"/>
      <c r="N336" s="312"/>
      <c r="O336" s="312"/>
      <c r="P336" s="554" t="s">
        <v>1128</v>
      </c>
      <c r="Q336" s="292"/>
      <c r="R336" s="170"/>
      <c r="S336" s="389"/>
      <c r="T336" s="501" t="s">
        <v>2800</v>
      </c>
      <c r="U336" s="501" t="s">
        <v>2452</v>
      </c>
      <c r="W336" s="431" t="s">
        <v>928</v>
      </c>
      <c r="X336" s="431" t="s">
        <v>3328</v>
      </c>
      <c r="AA336" s="26"/>
      <c r="AB336" s="26"/>
      <c r="AC336" s="932"/>
      <c r="AD336" s="512"/>
    </row>
    <row r="337" spans="6:30" ht="10.5" customHeight="1">
      <c r="F337" s="332"/>
      <c r="G337" s="312"/>
      <c r="H337" s="312"/>
      <c r="I337" s="312"/>
      <c r="J337" s="312"/>
      <c r="K337" s="312"/>
      <c r="L337" s="312"/>
      <c r="M337" s="312"/>
      <c r="N337" s="312"/>
      <c r="O337" s="312"/>
      <c r="P337" s="554" t="s">
        <v>1130</v>
      </c>
      <c r="Q337" s="292"/>
      <c r="R337" s="170"/>
      <c r="S337" s="389"/>
      <c r="T337" s="501" t="s">
        <v>1902</v>
      </c>
      <c r="U337" s="501" t="s">
        <v>1437</v>
      </c>
      <c r="W337" s="431" t="s">
        <v>1030</v>
      </c>
      <c r="X337" s="431" t="s">
        <v>3328</v>
      </c>
      <c r="AA337" s="26"/>
      <c r="AB337" s="26"/>
      <c r="AC337" s="931"/>
      <c r="AD337" s="512"/>
    </row>
    <row r="338" spans="6:30" ht="10.5" customHeight="1">
      <c r="F338" s="332"/>
      <c r="G338" s="312"/>
      <c r="H338" s="312"/>
      <c r="I338" s="312"/>
      <c r="J338" s="312"/>
      <c r="K338" s="312"/>
      <c r="L338" s="312"/>
      <c r="M338" s="312"/>
      <c r="N338" s="312"/>
      <c r="O338" s="312"/>
      <c r="P338" s="554" t="s">
        <v>2480</v>
      </c>
      <c r="Q338" s="292"/>
      <c r="R338" s="170"/>
      <c r="S338" s="389"/>
      <c r="T338" s="501" t="s">
        <v>1904</v>
      </c>
      <c r="U338" s="501" t="s">
        <v>1437</v>
      </c>
      <c r="W338" s="431" t="s">
        <v>2239</v>
      </c>
      <c r="X338" s="431" t="s">
        <v>3328</v>
      </c>
      <c r="AA338" s="26"/>
      <c r="AB338" s="26"/>
      <c r="AC338" s="931"/>
      <c r="AD338" s="512"/>
    </row>
    <row r="339" spans="6:30" ht="10.5" customHeight="1">
      <c r="F339" s="332"/>
      <c r="G339" s="312"/>
      <c r="H339" s="312"/>
      <c r="I339" s="312"/>
      <c r="J339" s="312"/>
      <c r="K339" s="312"/>
      <c r="L339" s="312"/>
      <c r="M339" s="312"/>
      <c r="N339" s="312"/>
      <c r="O339" s="312"/>
      <c r="P339" s="554" t="s">
        <v>2482</v>
      </c>
      <c r="Q339" s="292"/>
      <c r="R339" s="170"/>
      <c r="S339" s="389"/>
      <c r="T339" s="501" t="s">
        <v>706</v>
      </c>
      <c r="U339" s="501" t="s">
        <v>119</v>
      </c>
      <c r="W339" s="431" t="s">
        <v>2488</v>
      </c>
      <c r="X339" s="431" t="s">
        <v>3328</v>
      </c>
      <c r="AA339" s="26"/>
      <c r="AB339" s="26"/>
      <c r="AC339" s="931"/>
      <c r="AD339" s="512"/>
    </row>
    <row r="340" spans="6:30" ht="10.5" customHeight="1">
      <c r="F340" s="332"/>
      <c r="G340" s="312"/>
      <c r="H340" s="312"/>
      <c r="I340" s="312"/>
      <c r="J340" s="312"/>
      <c r="K340" s="312"/>
      <c r="L340" s="312"/>
      <c r="M340" s="312"/>
      <c r="N340" s="312"/>
      <c r="O340" s="312"/>
      <c r="P340" s="554" t="s">
        <v>186</v>
      </c>
      <c r="Q340" s="292"/>
      <c r="R340" s="170"/>
      <c r="S340" s="389"/>
      <c r="T340" s="501" t="s">
        <v>679</v>
      </c>
      <c r="U340" s="501" t="s">
        <v>617</v>
      </c>
      <c r="W340" s="431" t="s">
        <v>2137</v>
      </c>
      <c r="X340" s="431" t="s">
        <v>3328</v>
      </c>
      <c r="AA340" s="26"/>
      <c r="AB340" s="26"/>
      <c r="AC340" s="931"/>
      <c r="AD340" s="512"/>
    </row>
    <row r="341" spans="6:30" ht="10.5" customHeight="1">
      <c r="F341" s="332"/>
      <c r="G341" s="312"/>
      <c r="H341" s="312"/>
      <c r="I341" s="312"/>
      <c r="J341" s="312"/>
      <c r="K341" s="312"/>
      <c r="L341" s="312"/>
      <c r="M341" s="312"/>
      <c r="N341" s="312"/>
      <c r="O341" s="312"/>
      <c r="P341" s="554" t="s">
        <v>187</v>
      </c>
      <c r="Q341" s="292"/>
      <c r="R341" s="170"/>
      <c r="S341" s="389"/>
      <c r="T341" s="501" t="s">
        <v>2801</v>
      </c>
      <c r="U341" s="501" t="s">
        <v>157</v>
      </c>
      <c r="W341" s="431" t="s">
        <v>1595</v>
      </c>
      <c r="X341" s="431" t="s">
        <v>3328</v>
      </c>
      <c r="AA341" s="26"/>
      <c r="AB341" s="26"/>
      <c r="AC341" s="931"/>
      <c r="AD341" s="512"/>
    </row>
    <row r="342" spans="6:30" ht="10.5" customHeight="1">
      <c r="F342" s="332"/>
      <c r="G342" s="312"/>
      <c r="H342" s="312"/>
      <c r="I342" s="312"/>
      <c r="J342" s="312"/>
      <c r="K342" s="312"/>
      <c r="L342" s="312"/>
      <c r="M342" s="312"/>
      <c r="N342" s="312"/>
      <c r="O342" s="312"/>
      <c r="P342" s="554" t="s">
        <v>1799</v>
      </c>
      <c r="Q342" s="292"/>
      <c r="R342" s="170"/>
      <c r="S342" s="389"/>
      <c r="T342" s="501" t="s">
        <v>2802</v>
      </c>
      <c r="U342" s="501" t="s">
        <v>313</v>
      </c>
      <c r="W342" s="431" t="s">
        <v>2385</v>
      </c>
      <c r="X342" s="431" t="s">
        <v>3328</v>
      </c>
      <c r="AA342" s="26"/>
      <c r="AB342" s="26"/>
      <c r="AC342" s="931"/>
      <c r="AD342" s="512"/>
    </row>
    <row r="343" spans="6:30" ht="10.5" customHeight="1">
      <c r="F343" s="332"/>
      <c r="G343" s="312"/>
      <c r="H343" s="312"/>
      <c r="I343" s="312"/>
      <c r="J343" s="312"/>
      <c r="K343" s="312"/>
      <c r="L343" s="312"/>
      <c r="M343" s="312"/>
      <c r="N343" s="312"/>
      <c r="O343" s="312"/>
      <c r="P343" s="554" t="s">
        <v>1801</v>
      </c>
      <c r="Q343" s="292"/>
      <c r="R343" s="170"/>
      <c r="S343" s="389"/>
      <c r="T343" s="501" t="s">
        <v>1127</v>
      </c>
      <c r="U343" s="501" t="s">
        <v>1437</v>
      </c>
      <c r="W343" s="431" t="s">
        <v>803</v>
      </c>
      <c r="X343" s="431" t="s">
        <v>3328</v>
      </c>
      <c r="AA343" s="26"/>
      <c r="AB343" s="26"/>
      <c r="AC343" s="931"/>
      <c r="AD343" s="512"/>
    </row>
    <row r="344" spans="6:30" ht="10.5" customHeight="1">
      <c r="F344" s="332"/>
      <c r="G344" s="312"/>
      <c r="H344" s="312"/>
      <c r="I344" s="312"/>
      <c r="J344" s="312"/>
      <c r="K344" s="312"/>
      <c r="L344" s="312"/>
      <c r="M344" s="312"/>
      <c r="N344" s="312"/>
      <c r="O344" s="312"/>
      <c r="P344" s="554" t="s">
        <v>1865</v>
      </c>
      <c r="Q344" s="292"/>
      <c r="R344" s="170"/>
      <c r="S344" s="389"/>
      <c r="T344" s="501" t="s">
        <v>1129</v>
      </c>
      <c r="U344" s="501" t="s">
        <v>651</v>
      </c>
      <c r="W344" s="431" t="s">
        <v>166</v>
      </c>
      <c r="X344" s="431" t="s">
        <v>3328</v>
      </c>
      <c r="AA344" s="26"/>
      <c r="AB344" s="26"/>
      <c r="AC344" s="931"/>
      <c r="AD344" s="512"/>
    </row>
    <row r="345" spans="6:30" ht="10.5" customHeight="1">
      <c r="F345" s="332"/>
      <c r="G345" s="312"/>
      <c r="H345" s="312"/>
      <c r="I345" s="312"/>
      <c r="J345" s="312"/>
      <c r="K345" s="312"/>
      <c r="L345" s="312"/>
      <c r="M345" s="312"/>
      <c r="N345" s="312"/>
      <c r="O345" s="312"/>
      <c r="P345" s="554" t="s">
        <v>1867</v>
      </c>
      <c r="Q345" s="292"/>
      <c r="R345" s="170"/>
      <c r="S345" s="389"/>
      <c r="T345" s="501" t="s">
        <v>2538</v>
      </c>
      <c r="U345" s="501" t="s">
        <v>2145</v>
      </c>
      <c r="W345" s="431" t="s">
        <v>1311</v>
      </c>
      <c r="X345" s="431" t="s">
        <v>3328</v>
      </c>
      <c r="AA345" s="26"/>
      <c r="AB345" s="26"/>
      <c r="AC345" s="931"/>
      <c r="AD345" s="512"/>
    </row>
    <row r="346" spans="6:30" ht="10.5" customHeight="1">
      <c r="F346" s="332"/>
      <c r="G346" s="312"/>
      <c r="H346" s="312"/>
      <c r="I346" s="312"/>
      <c r="J346" s="312"/>
      <c r="K346" s="312"/>
      <c r="L346" s="312"/>
      <c r="M346" s="312"/>
      <c r="N346" s="312"/>
      <c r="O346" s="312"/>
      <c r="P346" s="554" t="s">
        <v>1868</v>
      </c>
      <c r="Q346" s="292"/>
      <c r="R346" s="170"/>
      <c r="S346" s="389"/>
      <c r="T346" s="501" t="s">
        <v>2539</v>
      </c>
      <c r="U346" s="501" t="s">
        <v>2498</v>
      </c>
      <c r="W346" s="431" t="s">
        <v>1059</v>
      </c>
      <c r="X346" s="431" t="s">
        <v>3328</v>
      </c>
      <c r="AA346" s="26"/>
      <c r="AB346" s="26"/>
      <c r="AC346" s="931"/>
      <c r="AD346" s="512"/>
    </row>
    <row r="347" spans="6:30" ht="10.5" customHeight="1">
      <c r="F347" s="332"/>
      <c r="G347" s="312"/>
      <c r="H347" s="312"/>
      <c r="I347" s="312"/>
      <c r="J347" s="312"/>
      <c r="K347" s="312"/>
      <c r="L347" s="312"/>
      <c r="M347" s="312"/>
      <c r="N347" s="312"/>
      <c r="O347" s="312"/>
      <c r="P347" s="554" t="s">
        <v>1870</v>
      </c>
      <c r="Q347" s="292"/>
      <c r="R347" s="170"/>
      <c r="S347" s="389"/>
      <c r="T347" s="501" t="s">
        <v>1131</v>
      </c>
      <c r="U347" s="501" t="s">
        <v>1191</v>
      </c>
      <c r="W347" s="431" t="s">
        <v>1966</v>
      </c>
      <c r="X347" s="431" t="s">
        <v>3328</v>
      </c>
      <c r="AA347" s="26"/>
      <c r="AB347" s="26"/>
      <c r="AC347" s="931"/>
      <c r="AD347" s="512"/>
    </row>
    <row r="348" spans="6:30" ht="10.5" customHeight="1">
      <c r="F348" s="332"/>
      <c r="G348" s="312"/>
      <c r="H348" s="312"/>
      <c r="I348" s="312"/>
      <c r="J348" s="312"/>
      <c r="K348" s="312"/>
      <c r="L348" s="312"/>
      <c r="M348" s="312"/>
      <c r="N348" s="312"/>
      <c r="O348" s="312"/>
      <c r="P348" s="554" t="s">
        <v>1872</v>
      </c>
      <c r="Q348" s="292"/>
      <c r="R348" s="170"/>
      <c r="S348" s="389"/>
      <c r="T348" s="501" t="s">
        <v>2481</v>
      </c>
      <c r="U348" s="501" t="s">
        <v>197</v>
      </c>
      <c r="W348" s="431" t="s">
        <v>1862</v>
      </c>
      <c r="X348" s="431" t="s">
        <v>3328</v>
      </c>
      <c r="AA348" s="26"/>
      <c r="AB348" s="26"/>
      <c r="AC348" s="931"/>
      <c r="AD348" s="512"/>
    </row>
    <row r="349" spans="6:30" ht="10.5" customHeight="1">
      <c r="F349" s="332"/>
      <c r="G349" s="312"/>
      <c r="H349" s="312"/>
      <c r="I349" s="312"/>
      <c r="J349" s="312"/>
      <c r="K349" s="312"/>
      <c r="L349" s="312"/>
      <c r="M349" s="312"/>
      <c r="N349" s="312"/>
      <c r="O349" s="312"/>
      <c r="P349" s="554" t="s">
        <v>1906</v>
      </c>
      <c r="Q349" s="292"/>
      <c r="R349" s="170"/>
      <c r="S349" s="389"/>
      <c r="T349" s="501" t="s">
        <v>451</v>
      </c>
      <c r="U349" s="501" t="s">
        <v>1088</v>
      </c>
      <c r="W349" s="431" t="s">
        <v>2503</v>
      </c>
      <c r="X349" s="431" t="s">
        <v>3328</v>
      </c>
      <c r="AA349" s="26"/>
      <c r="AB349" s="26"/>
      <c r="AC349" s="931"/>
      <c r="AD349" s="512"/>
    </row>
    <row r="350" spans="6:30" ht="10.5" customHeight="1">
      <c r="F350" s="332"/>
      <c r="G350" s="312"/>
      <c r="H350" s="312"/>
      <c r="I350" s="312"/>
      <c r="J350" s="312"/>
      <c r="K350" s="312"/>
      <c r="L350" s="312"/>
      <c r="M350" s="312"/>
      <c r="N350" s="312"/>
      <c r="O350" s="312"/>
      <c r="P350" s="554" t="s">
        <v>1908</v>
      </c>
      <c r="Q350" s="292"/>
      <c r="R350" s="170"/>
      <c r="S350" s="389"/>
      <c r="T350" s="555" t="s">
        <v>4408</v>
      </c>
      <c r="U350" s="555" t="s">
        <v>653</v>
      </c>
      <c r="W350" s="431" t="s">
        <v>1142</v>
      </c>
      <c r="X350" s="431" t="s">
        <v>3328</v>
      </c>
      <c r="AA350" s="26"/>
      <c r="AB350" s="26"/>
      <c r="AC350" s="931"/>
      <c r="AD350" s="512"/>
    </row>
    <row r="351" spans="6:30" ht="10.5" customHeight="1">
      <c r="F351" s="332"/>
      <c r="G351" s="312"/>
      <c r="H351" s="312"/>
      <c r="I351" s="312"/>
      <c r="J351" s="312"/>
      <c r="K351" s="312"/>
      <c r="L351" s="312"/>
      <c r="M351" s="312"/>
      <c r="N351" s="312"/>
      <c r="O351" s="312"/>
      <c r="P351" s="554" t="s">
        <v>1909</v>
      </c>
      <c r="Q351" s="292"/>
      <c r="R351" s="170"/>
      <c r="S351" s="389"/>
      <c r="T351" s="555" t="s">
        <v>298</v>
      </c>
      <c r="U351" s="555" t="s">
        <v>1317</v>
      </c>
      <c r="W351" s="431" t="s">
        <v>2484</v>
      </c>
      <c r="X351" s="431" t="s">
        <v>3328</v>
      </c>
      <c r="AA351" s="26"/>
      <c r="AB351" s="26"/>
      <c r="AC351" s="932"/>
      <c r="AD351" s="512"/>
    </row>
    <row r="352" spans="6:30" ht="10.5" customHeight="1">
      <c r="F352" s="332"/>
      <c r="G352" s="312"/>
      <c r="H352" s="312"/>
      <c r="I352" s="312"/>
      <c r="J352" s="312"/>
      <c r="K352" s="312"/>
      <c r="L352" s="312"/>
      <c r="M352" s="312"/>
      <c r="N352" s="312"/>
      <c r="O352" s="312"/>
      <c r="P352" s="554" t="s">
        <v>1911</v>
      </c>
      <c r="Q352" s="292"/>
      <c r="R352" s="170"/>
      <c r="S352" s="389"/>
      <c r="T352" s="555" t="s">
        <v>1800</v>
      </c>
      <c r="U352" s="555" t="s">
        <v>865</v>
      </c>
      <c r="W352" s="431" t="s">
        <v>804</v>
      </c>
      <c r="X352" s="431" t="s">
        <v>3328</v>
      </c>
      <c r="AA352" s="26"/>
      <c r="AB352" s="26"/>
      <c r="AC352" s="932"/>
      <c r="AD352" s="512"/>
    </row>
    <row r="353" spans="6:30" ht="10.5" customHeight="1">
      <c r="F353" s="332"/>
      <c r="G353" s="312"/>
      <c r="H353" s="312"/>
      <c r="I353" s="312"/>
      <c r="J353" s="312"/>
      <c r="K353" s="312"/>
      <c r="L353" s="312"/>
      <c r="M353" s="312"/>
      <c r="N353" s="312"/>
      <c r="O353" s="312"/>
      <c r="P353" s="554" t="s">
        <v>1913</v>
      </c>
      <c r="Q353" s="292"/>
      <c r="R353" s="170"/>
      <c r="S353" s="389"/>
      <c r="T353" s="501" t="s">
        <v>1802</v>
      </c>
      <c r="U353" s="501" t="s">
        <v>1098</v>
      </c>
      <c r="W353" s="431" t="s">
        <v>2076</v>
      </c>
      <c r="X353" s="431" t="s">
        <v>3328</v>
      </c>
      <c r="AA353" s="26"/>
      <c r="AB353" s="26"/>
      <c r="AC353" s="932"/>
      <c r="AD353" s="512"/>
    </row>
    <row r="354" spans="6:30" ht="10.5" customHeight="1">
      <c r="F354" s="332"/>
      <c r="G354" s="312"/>
      <c r="H354" s="312"/>
      <c r="I354" s="312"/>
      <c r="J354" s="312"/>
      <c r="K354" s="312"/>
      <c r="L354" s="312"/>
      <c r="M354" s="312"/>
      <c r="N354" s="312"/>
      <c r="O354" s="312"/>
      <c r="P354" s="554" t="s">
        <v>415</v>
      </c>
      <c r="Q354" s="292"/>
      <c r="R354" s="170"/>
      <c r="S354" s="389"/>
      <c r="T354" s="501" t="s">
        <v>1866</v>
      </c>
      <c r="U354" s="501" t="s">
        <v>2457</v>
      </c>
      <c r="W354" s="431" t="s">
        <v>926</v>
      </c>
      <c r="X354" s="431" t="s">
        <v>3328</v>
      </c>
      <c r="AA354" s="26"/>
      <c r="AB354" s="26"/>
      <c r="AC354" s="931"/>
      <c r="AD354" s="512"/>
    </row>
    <row r="355" spans="6:30" ht="10.5" customHeight="1">
      <c r="F355" s="332"/>
      <c r="G355" s="312"/>
      <c r="H355" s="312"/>
      <c r="I355" s="312"/>
      <c r="J355" s="312"/>
      <c r="K355" s="312"/>
      <c r="L355" s="312"/>
      <c r="M355" s="312"/>
      <c r="N355" s="312"/>
      <c r="O355" s="312"/>
      <c r="P355" s="554" t="s">
        <v>131</v>
      </c>
      <c r="Q355" s="292"/>
      <c r="R355" s="170"/>
      <c r="S355" s="389"/>
      <c r="T355" s="555" t="s">
        <v>1869</v>
      </c>
      <c r="U355" s="555" t="s">
        <v>651</v>
      </c>
      <c r="W355" s="431" t="s">
        <v>2469</v>
      </c>
      <c r="X355" s="431" t="s">
        <v>3328</v>
      </c>
      <c r="AA355" s="26"/>
      <c r="AB355" s="26"/>
      <c r="AC355" s="931"/>
      <c r="AD355" s="512"/>
    </row>
    <row r="356" spans="6:30" ht="10.5" customHeight="1">
      <c r="F356" s="332"/>
      <c r="G356" s="312"/>
      <c r="H356" s="312"/>
      <c r="I356" s="312"/>
      <c r="J356" s="312"/>
      <c r="K356" s="312"/>
      <c r="L356" s="312"/>
      <c r="M356" s="312"/>
      <c r="N356" s="312"/>
      <c r="O356" s="312"/>
      <c r="P356" s="554" t="s">
        <v>1653</v>
      </c>
      <c r="Q356" s="292"/>
      <c r="R356" s="170"/>
      <c r="S356" s="389"/>
      <c r="T356" s="501" t="s">
        <v>1871</v>
      </c>
      <c r="U356" s="501" t="s">
        <v>1299</v>
      </c>
      <c r="W356" s="431" t="s">
        <v>1879</v>
      </c>
      <c r="X356" s="431" t="s">
        <v>3328</v>
      </c>
      <c r="AA356" s="26"/>
      <c r="AB356" s="26"/>
      <c r="AC356" s="932"/>
      <c r="AD356" s="512"/>
    </row>
    <row r="357" spans="6:30" ht="10.5" customHeight="1">
      <c r="F357" s="332"/>
      <c r="G357" s="312"/>
      <c r="H357" s="312"/>
      <c r="I357" s="312"/>
      <c r="J357" s="312"/>
      <c r="K357" s="312"/>
      <c r="L357" s="312"/>
      <c r="M357" s="312"/>
      <c r="N357" s="312"/>
      <c r="O357" s="312"/>
      <c r="P357" s="554" t="s">
        <v>1727</v>
      </c>
      <c r="Q357" s="292"/>
      <c r="R357" s="170"/>
      <c r="S357" s="389"/>
      <c r="T357" s="501" t="s">
        <v>2803</v>
      </c>
      <c r="U357" s="501" t="s">
        <v>197</v>
      </c>
      <c r="W357" s="431" t="s">
        <v>1398</v>
      </c>
      <c r="X357" s="431" t="s">
        <v>3328</v>
      </c>
      <c r="AA357" s="26"/>
      <c r="AB357" s="26"/>
      <c r="AC357" s="931"/>
      <c r="AD357" s="512"/>
    </row>
    <row r="358" spans="6:30" ht="10.5" customHeight="1">
      <c r="F358" s="332"/>
      <c r="G358" s="312"/>
      <c r="H358" s="312"/>
      <c r="I358" s="312"/>
      <c r="J358" s="312"/>
      <c r="K358" s="312"/>
      <c r="L358" s="312"/>
      <c r="M358" s="312"/>
      <c r="N358" s="312"/>
      <c r="O358" s="312"/>
      <c r="P358" s="554" t="s">
        <v>2249</v>
      </c>
      <c r="Q358" s="292"/>
      <c r="R358" s="170"/>
      <c r="S358" s="389"/>
      <c r="T358" s="501" t="s">
        <v>1873</v>
      </c>
      <c r="U358" s="501" t="s">
        <v>1302</v>
      </c>
      <c r="W358" s="431" t="s">
        <v>2229</v>
      </c>
      <c r="X358" s="431" t="s">
        <v>3328</v>
      </c>
      <c r="AA358" s="26"/>
      <c r="AB358" s="26"/>
      <c r="AC358" s="931"/>
      <c r="AD358" s="512"/>
    </row>
    <row r="359" spans="6:30" ht="10.5" customHeight="1">
      <c r="F359" s="332"/>
      <c r="G359" s="312"/>
      <c r="H359" s="312"/>
      <c r="I359" s="312"/>
      <c r="J359" s="312"/>
      <c r="K359" s="312"/>
      <c r="L359" s="312"/>
      <c r="M359" s="312"/>
      <c r="N359" s="312"/>
      <c r="O359" s="312"/>
      <c r="P359" s="554" t="s">
        <v>2251</v>
      </c>
      <c r="Q359" s="292"/>
      <c r="R359" s="170"/>
      <c r="S359" s="389"/>
      <c r="T359" s="501" t="s">
        <v>1907</v>
      </c>
      <c r="U359" s="501" t="s">
        <v>315</v>
      </c>
      <c r="W359" s="431" t="s">
        <v>2231</v>
      </c>
      <c r="X359" s="431" t="s">
        <v>3328</v>
      </c>
      <c r="AA359" s="26"/>
      <c r="AB359" s="26"/>
      <c r="AC359" s="931"/>
      <c r="AD359" s="512"/>
    </row>
    <row r="360" spans="6:30" ht="10.5" customHeight="1">
      <c r="F360" s="332"/>
      <c r="G360" s="312"/>
      <c r="H360" s="312"/>
      <c r="I360" s="312"/>
      <c r="J360" s="312"/>
      <c r="K360" s="312"/>
      <c r="L360" s="312"/>
      <c r="M360" s="312"/>
      <c r="N360" s="312"/>
      <c r="O360" s="312"/>
      <c r="P360" s="554" t="s">
        <v>979</v>
      </c>
      <c r="Q360" s="292"/>
      <c r="R360" s="170"/>
      <c r="S360" s="389"/>
      <c r="T360" s="501" t="s">
        <v>2804</v>
      </c>
      <c r="U360" s="501" t="s">
        <v>644</v>
      </c>
      <c r="W360" s="431" t="s">
        <v>1103</v>
      </c>
      <c r="X360" s="431" t="s">
        <v>3328</v>
      </c>
      <c r="AA360" s="26"/>
      <c r="AB360" s="26"/>
      <c r="AC360" s="931"/>
      <c r="AD360" s="512"/>
    </row>
    <row r="361" spans="6:30" ht="10.5" customHeight="1">
      <c r="F361" s="332"/>
      <c r="G361" s="312"/>
      <c r="H361" s="312"/>
      <c r="I361" s="312"/>
      <c r="J361" s="312"/>
      <c r="K361" s="312"/>
      <c r="L361" s="312"/>
      <c r="M361" s="312"/>
      <c r="N361" s="312"/>
      <c r="O361" s="312"/>
      <c r="P361" s="554" t="s">
        <v>666</v>
      </c>
      <c r="Q361" s="292"/>
      <c r="R361" s="170"/>
      <c r="S361" s="389"/>
      <c r="T361" s="501" t="s">
        <v>1910</v>
      </c>
      <c r="U361" s="501" t="s">
        <v>2552</v>
      </c>
      <c r="W361" s="431" t="s">
        <v>2098</v>
      </c>
      <c r="X361" s="431" t="s">
        <v>3328</v>
      </c>
      <c r="AA361" s="26"/>
      <c r="AB361" s="26"/>
      <c r="AC361" s="931"/>
      <c r="AD361" s="512"/>
    </row>
    <row r="362" spans="6:30" ht="10.5" customHeight="1">
      <c r="F362" s="332"/>
      <c r="G362" s="312"/>
      <c r="H362" s="312"/>
      <c r="I362" s="312"/>
      <c r="J362" s="312"/>
      <c r="K362" s="312"/>
      <c r="L362" s="312"/>
      <c r="M362" s="312"/>
      <c r="N362" s="312"/>
      <c r="O362" s="312"/>
      <c r="P362" s="554" t="s">
        <v>559</v>
      </c>
      <c r="Q362" s="292"/>
      <c r="R362" s="170"/>
      <c r="S362" s="389"/>
      <c r="T362" s="501" t="s">
        <v>1912</v>
      </c>
      <c r="U362" s="501" t="s">
        <v>1299</v>
      </c>
      <c r="W362" s="431" t="s">
        <v>2099</v>
      </c>
      <c r="X362" s="431" t="s">
        <v>3328</v>
      </c>
      <c r="AA362" s="26"/>
      <c r="AB362" s="26"/>
      <c r="AC362" s="931"/>
      <c r="AD362" s="512"/>
    </row>
    <row r="363" spans="6:30" ht="10.5" customHeight="1">
      <c r="F363" s="332"/>
      <c r="G363" s="312"/>
      <c r="H363" s="312"/>
      <c r="I363" s="312"/>
      <c r="J363" s="312"/>
      <c r="K363" s="312"/>
      <c r="L363" s="312"/>
      <c r="M363" s="312"/>
      <c r="N363" s="312"/>
      <c r="O363" s="312"/>
      <c r="P363" s="554" t="s">
        <v>662</v>
      </c>
      <c r="Q363" s="292"/>
      <c r="R363" s="170"/>
      <c r="S363" s="389"/>
      <c r="T363" s="501" t="s">
        <v>2216</v>
      </c>
      <c r="U363" s="501" t="s">
        <v>2495</v>
      </c>
      <c r="W363" s="431" t="s">
        <v>2100</v>
      </c>
      <c r="X363" s="431" t="s">
        <v>3328</v>
      </c>
      <c r="AA363" s="26"/>
      <c r="AB363" s="26"/>
      <c r="AC363" s="931"/>
      <c r="AD363" s="512"/>
    </row>
    <row r="364" spans="6:30" ht="10.5" customHeight="1">
      <c r="F364" s="332"/>
      <c r="G364" s="312"/>
      <c r="H364" s="312"/>
      <c r="I364" s="312"/>
      <c r="J364" s="312"/>
      <c r="K364" s="312"/>
      <c r="L364" s="312"/>
      <c r="M364" s="312"/>
      <c r="N364" s="312"/>
      <c r="O364" s="312"/>
      <c r="P364" s="554" t="s">
        <v>2356</v>
      </c>
      <c r="Q364" s="292"/>
      <c r="R364" s="170"/>
      <c r="S364" s="389"/>
      <c r="T364" s="501" t="s">
        <v>2540</v>
      </c>
      <c r="U364" s="501" t="s">
        <v>2145</v>
      </c>
      <c r="W364" s="431" t="s">
        <v>2303</v>
      </c>
      <c r="X364" s="431" t="s">
        <v>3328</v>
      </c>
      <c r="AA364" s="26"/>
      <c r="AB364" s="26"/>
      <c r="AC364" s="931"/>
      <c r="AD364" s="512"/>
    </row>
    <row r="365" spans="6:30" ht="10.5" customHeight="1">
      <c r="F365" s="332"/>
      <c r="G365" s="312"/>
      <c r="H365" s="312"/>
      <c r="I365" s="312"/>
      <c r="J365" s="312"/>
      <c r="K365" s="312"/>
      <c r="L365" s="312"/>
      <c r="M365" s="312"/>
      <c r="N365" s="312"/>
      <c r="O365" s="312"/>
      <c r="P365" s="554" t="s">
        <v>216</v>
      </c>
      <c r="Q365" s="292"/>
      <c r="R365" s="170"/>
      <c r="S365" s="389"/>
      <c r="T365" s="501" t="s">
        <v>2541</v>
      </c>
      <c r="U365" s="501" t="s">
        <v>2454</v>
      </c>
      <c r="W365" s="431" t="s">
        <v>2305</v>
      </c>
      <c r="X365" s="431" t="s">
        <v>3328</v>
      </c>
      <c r="AA365" s="26"/>
      <c r="AB365" s="26"/>
      <c r="AC365" s="931"/>
      <c r="AD365" s="512"/>
    </row>
    <row r="366" spans="6:30" ht="10.5" customHeight="1">
      <c r="F366" s="332"/>
      <c r="G366" s="312"/>
      <c r="H366" s="312"/>
      <c r="I366" s="312"/>
      <c r="J366" s="312"/>
      <c r="K366" s="312"/>
      <c r="L366" s="312"/>
      <c r="M366" s="312"/>
      <c r="N366" s="312"/>
      <c r="O366" s="312"/>
      <c r="P366" s="554" t="s">
        <v>769</v>
      </c>
      <c r="Q366" s="292"/>
      <c r="R366" s="170"/>
      <c r="S366" s="389"/>
      <c r="T366" s="501" t="s">
        <v>416</v>
      </c>
      <c r="U366" s="501" t="s">
        <v>1191</v>
      </c>
      <c r="W366" s="431" t="s">
        <v>2232</v>
      </c>
      <c r="X366" s="431" t="s">
        <v>3328</v>
      </c>
      <c r="AA366" s="26"/>
      <c r="AB366" s="26"/>
      <c r="AC366" s="931"/>
      <c r="AD366" s="512"/>
    </row>
    <row r="367" spans="6:30" ht="10.5" customHeight="1">
      <c r="F367" s="332"/>
      <c r="G367" s="312"/>
      <c r="H367" s="312"/>
      <c r="I367" s="312"/>
      <c r="J367" s="312"/>
      <c r="K367" s="312"/>
      <c r="L367" s="312"/>
      <c r="M367" s="312"/>
      <c r="N367" s="312"/>
      <c r="O367" s="312"/>
      <c r="P367" s="554" t="s">
        <v>770</v>
      </c>
      <c r="Q367" s="292"/>
      <c r="R367" s="170"/>
      <c r="S367" s="389"/>
      <c r="T367" s="555" t="s">
        <v>224</v>
      </c>
      <c r="U367" s="555" t="s">
        <v>656</v>
      </c>
      <c r="W367" s="431" t="s">
        <v>1608</v>
      </c>
      <c r="X367" s="431" t="s">
        <v>3328</v>
      </c>
      <c r="AA367" s="26"/>
      <c r="AB367" s="26"/>
      <c r="AC367" s="931"/>
      <c r="AD367" s="512"/>
    </row>
    <row r="368" spans="6:30" ht="10.5" customHeight="1">
      <c r="F368" s="332"/>
      <c r="G368" s="312"/>
      <c r="H368" s="312"/>
      <c r="I368" s="312"/>
      <c r="J368" s="312"/>
      <c r="K368" s="312"/>
      <c r="L368" s="312"/>
      <c r="M368" s="312"/>
      <c r="N368" s="312"/>
      <c r="O368" s="312"/>
      <c r="P368" s="554" t="s">
        <v>228</v>
      </c>
      <c r="Q368" s="292"/>
      <c r="R368" s="170"/>
      <c r="S368" s="389"/>
      <c r="T368" s="501" t="s">
        <v>2542</v>
      </c>
      <c r="U368" s="501" t="s">
        <v>1981</v>
      </c>
      <c r="W368" s="431" t="s">
        <v>1665</v>
      </c>
      <c r="X368" s="431" t="s">
        <v>3328</v>
      </c>
      <c r="AA368" s="26"/>
      <c r="AB368" s="26"/>
      <c r="AC368" s="932"/>
      <c r="AD368" s="512"/>
    </row>
    <row r="369" spans="6:30" ht="10.5" customHeight="1">
      <c r="F369" s="332"/>
      <c r="G369" s="312"/>
      <c r="H369" s="312"/>
      <c r="I369" s="312"/>
      <c r="J369" s="312"/>
      <c r="K369" s="312"/>
      <c r="L369" s="312"/>
      <c r="M369" s="312"/>
      <c r="N369" s="312"/>
      <c r="O369" s="312"/>
      <c r="P369" s="554" t="s">
        <v>230</v>
      </c>
      <c r="Q369" s="292"/>
      <c r="R369" s="170"/>
      <c r="S369" s="389"/>
      <c r="T369" s="501" t="s">
        <v>1654</v>
      </c>
      <c r="U369" s="501" t="s">
        <v>2452</v>
      </c>
      <c r="W369" s="431" t="s">
        <v>1064</v>
      </c>
      <c r="X369" s="431" t="s">
        <v>3328</v>
      </c>
      <c r="AA369" s="26"/>
      <c r="AB369" s="26"/>
      <c r="AC369" s="931"/>
      <c r="AD369" s="512"/>
    </row>
    <row r="370" spans="6:30" ht="10.5" customHeight="1">
      <c r="F370" s="332"/>
      <c r="G370" s="312"/>
      <c r="H370" s="312"/>
      <c r="I370" s="312"/>
      <c r="J370" s="312"/>
      <c r="K370" s="312"/>
      <c r="L370" s="312"/>
      <c r="M370" s="312"/>
      <c r="N370" s="312"/>
      <c r="O370" s="312"/>
      <c r="P370" s="554" t="s">
        <v>232</v>
      </c>
      <c r="Q370" s="292"/>
      <c r="R370" s="170"/>
      <c r="S370" s="389"/>
      <c r="T370" s="501" t="s">
        <v>2250</v>
      </c>
      <c r="U370" s="501" t="s">
        <v>646</v>
      </c>
      <c r="W370" s="431" t="s">
        <v>1672</v>
      </c>
      <c r="X370" s="431" t="s">
        <v>3328</v>
      </c>
      <c r="AA370" s="26"/>
      <c r="AB370" s="26"/>
      <c r="AC370" s="931"/>
      <c r="AD370" s="512"/>
    </row>
    <row r="371" spans="6:30" ht="10.5" customHeight="1">
      <c r="F371" s="332"/>
      <c r="G371" s="312"/>
      <c r="H371" s="312"/>
      <c r="I371" s="312"/>
      <c r="J371" s="312"/>
      <c r="K371" s="312"/>
      <c r="L371" s="312"/>
      <c r="M371" s="312"/>
      <c r="N371" s="312"/>
      <c r="O371" s="312"/>
      <c r="P371" s="554" t="s">
        <v>773</v>
      </c>
      <c r="Q371" s="292"/>
      <c r="R371" s="170"/>
      <c r="S371" s="389"/>
      <c r="T371" s="501" t="s">
        <v>2252</v>
      </c>
      <c r="U371" s="501" t="s">
        <v>1300</v>
      </c>
      <c r="W371" s="431" t="s">
        <v>1673</v>
      </c>
      <c r="X371" s="431" t="s">
        <v>3328</v>
      </c>
      <c r="AA371" s="26"/>
      <c r="AB371" s="26"/>
      <c r="AC371" s="931"/>
      <c r="AD371" s="512"/>
    </row>
    <row r="372" spans="6:30" ht="10.5" customHeight="1">
      <c r="F372" s="332"/>
      <c r="G372" s="312"/>
      <c r="H372" s="312"/>
      <c r="I372" s="312"/>
      <c r="J372" s="312"/>
      <c r="K372" s="312"/>
      <c r="L372" s="312"/>
      <c r="M372" s="312"/>
      <c r="N372" s="312"/>
      <c r="O372" s="312"/>
      <c r="P372" s="554" t="s">
        <v>774</v>
      </c>
      <c r="Q372" s="292"/>
      <c r="R372" s="170"/>
      <c r="S372" s="389"/>
      <c r="T372" s="501" t="s">
        <v>980</v>
      </c>
      <c r="U372" s="501" t="s">
        <v>1440</v>
      </c>
      <c r="W372" s="431" t="s">
        <v>1675</v>
      </c>
      <c r="X372" s="431" t="s">
        <v>3328</v>
      </c>
      <c r="AA372" s="26"/>
      <c r="AB372" s="26"/>
      <c r="AC372" s="931"/>
      <c r="AD372" s="512"/>
    </row>
    <row r="373" spans="6:30" ht="10.5" customHeight="1">
      <c r="F373" s="332"/>
      <c r="G373" s="312"/>
      <c r="H373" s="312"/>
      <c r="I373" s="312"/>
      <c r="J373" s="312"/>
      <c r="K373" s="312"/>
      <c r="L373" s="312"/>
      <c r="M373" s="312"/>
      <c r="N373" s="312"/>
      <c r="O373" s="312"/>
      <c r="P373" s="554" t="s">
        <v>776</v>
      </c>
      <c r="Q373" s="292"/>
      <c r="R373" s="170"/>
      <c r="S373" s="389"/>
      <c r="T373" s="501" t="s">
        <v>560</v>
      </c>
      <c r="U373" s="501" t="s">
        <v>1316</v>
      </c>
      <c r="W373" s="431" t="s">
        <v>1678</v>
      </c>
      <c r="X373" s="431" t="s">
        <v>3328</v>
      </c>
      <c r="AA373" s="26"/>
      <c r="AB373" s="26"/>
      <c r="AC373" s="931"/>
      <c r="AD373" s="512"/>
    </row>
    <row r="374" spans="6:30" ht="10.5" customHeight="1">
      <c r="F374" s="332"/>
      <c r="G374" s="312"/>
      <c r="H374" s="312"/>
      <c r="I374" s="312"/>
      <c r="J374" s="312"/>
      <c r="K374" s="312"/>
      <c r="L374" s="312"/>
      <c r="M374" s="312"/>
      <c r="N374" s="312"/>
      <c r="O374" s="312"/>
      <c r="P374" s="554" t="s">
        <v>1535</v>
      </c>
      <c r="Q374" s="292"/>
      <c r="R374" s="170"/>
      <c r="S374" s="389"/>
      <c r="T374" s="501" t="s">
        <v>663</v>
      </c>
      <c r="U374" s="501" t="s">
        <v>308</v>
      </c>
      <c r="W374" s="431" t="s">
        <v>1680</v>
      </c>
      <c r="X374" s="431" t="s">
        <v>3328</v>
      </c>
      <c r="AA374" s="26"/>
      <c r="AB374" s="26"/>
      <c r="AC374" s="931"/>
      <c r="AD374" s="512"/>
    </row>
    <row r="375" spans="6:30" ht="10.5" customHeight="1">
      <c r="F375" s="332"/>
      <c r="G375" s="312"/>
      <c r="H375" s="312"/>
      <c r="I375" s="312"/>
      <c r="J375" s="312"/>
      <c r="K375" s="312"/>
      <c r="L375" s="312"/>
      <c r="M375" s="312"/>
      <c r="N375" s="312"/>
      <c r="O375" s="312"/>
      <c r="P375" s="554" t="s">
        <v>1205</v>
      </c>
      <c r="Q375" s="292"/>
      <c r="R375" s="170"/>
      <c r="S375" s="389"/>
      <c r="T375" s="501" t="s">
        <v>2357</v>
      </c>
      <c r="U375" s="501" t="s">
        <v>155</v>
      </c>
      <c r="W375" s="431" t="s">
        <v>1681</v>
      </c>
      <c r="X375" s="431" t="s">
        <v>3328</v>
      </c>
      <c r="AA375" s="26"/>
      <c r="AB375" s="26"/>
      <c r="AC375" s="931"/>
      <c r="AD375" s="512"/>
    </row>
    <row r="376" spans="6:30" ht="10.5" customHeight="1">
      <c r="F376" s="332"/>
      <c r="G376" s="312"/>
      <c r="H376" s="312"/>
      <c r="I376" s="312"/>
      <c r="J376" s="312"/>
      <c r="K376" s="312"/>
      <c r="L376" s="312"/>
      <c r="M376" s="312"/>
      <c r="N376" s="312"/>
      <c r="O376" s="312"/>
      <c r="P376" s="554" t="s">
        <v>1207</v>
      </c>
      <c r="Q376" s="292"/>
      <c r="R376" s="170"/>
      <c r="S376" s="389"/>
      <c r="T376" s="501" t="s">
        <v>217</v>
      </c>
      <c r="U376" s="501" t="s">
        <v>2451</v>
      </c>
      <c r="W376" s="431" t="s">
        <v>1683</v>
      </c>
      <c r="X376" s="431" t="s">
        <v>3328</v>
      </c>
      <c r="AA376" s="26"/>
      <c r="AB376" s="26"/>
      <c r="AC376" s="931"/>
      <c r="AD376" s="512"/>
    </row>
    <row r="377" spans="6:30" ht="10.5" customHeight="1">
      <c r="F377" s="332"/>
      <c r="G377" s="312"/>
      <c r="H377" s="312"/>
      <c r="I377" s="312"/>
      <c r="J377" s="312"/>
      <c r="K377" s="312"/>
      <c r="L377" s="312"/>
      <c r="M377" s="312"/>
      <c r="N377" s="312"/>
      <c r="O377" s="312"/>
      <c r="P377" s="554" t="s">
        <v>885</v>
      </c>
      <c r="Q377" s="292"/>
      <c r="R377" s="170"/>
      <c r="S377" s="389"/>
      <c r="T377" s="501" t="s">
        <v>648</v>
      </c>
      <c r="U377" s="501" t="s">
        <v>1616</v>
      </c>
      <c r="W377" s="431" t="s">
        <v>1687</v>
      </c>
      <c r="X377" s="431" t="s">
        <v>3328</v>
      </c>
      <c r="AA377" s="26"/>
      <c r="AB377" s="26"/>
      <c r="AC377" s="931"/>
      <c r="AD377" s="512"/>
    </row>
    <row r="378" spans="6:30" ht="10.5" customHeight="1">
      <c r="F378" s="332"/>
      <c r="G378" s="312"/>
      <c r="H378" s="312"/>
      <c r="I378" s="312"/>
      <c r="J378" s="312"/>
      <c r="K378" s="312"/>
      <c r="L378" s="312"/>
      <c r="M378" s="312"/>
      <c r="N378" s="312"/>
      <c r="O378" s="312"/>
      <c r="P378" s="554" t="s">
        <v>2429</v>
      </c>
      <c r="Q378" s="292"/>
      <c r="R378" s="170"/>
      <c r="S378" s="389"/>
      <c r="T378" s="501" t="s">
        <v>2334</v>
      </c>
      <c r="U378" s="501" t="s">
        <v>2449</v>
      </c>
      <c r="W378" s="431" t="s">
        <v>1688</v>
      </c>
      <c r="X378" s="431" t="s">
        <v>3328</v>
      </c>
      <c r="AA378" s="26"/>
      <c r="AB378" s="26"/>
      <c r="AC378" s="931"/>
      <c r="AD378" s="512"/>
    </row>
    <row r="379" spans="6:30" ht="10.5" customHeight="1">
      <c r="F379" s="332"/>
      <c r="G379" s="312"/>
      <c r="H379" s="312"/>
      <c r="I379" s="312"/>
      <c r="J379" s="312"/>
      <c r="K379" s="312"/>
      <c r="L379" s="312"/>
      <c r="M379" s="312"/>
      <c r="N379" s="312"/>
      <c r="O379" s="312"/>
      <c r="P379" s="554" t="s">
        <v>3623</v>
      </c>
      <c r="Q379" s="292"/>
      <c r="R379" s="170"/>
      <c r="S379" s="389"/>
      <c r="T379" s="501" t="s">
        <v>229</v>
      </c>
      <c r="U379" s="501" t="s">
        <v>1502</v>
      </c>
      <c r="W379" s="431" t="s">
        <v>1689</v>
      </c>
      <c r="X379" s="431" t="s">
        <v>3328</v>
      </c>
      <c r="AA379" s="26"/>
      <c r="AB379" s="26"/>
      <c r="AC379" s="931"/>
      <c r="AD379" s="512"/>
    </row>
    <row r="380" spans="6:30" ht="10.5" customHeight="1">
      <c r="F380" s="332"/>
      <c r="G380" s="312"/>
      <c r="H380" s="312"/>
      <c r="I380" s="312"/>
      <c r="J380" s="312"/>
      <c r="K380" s="312"/>
      <c r="L380" s="312"/>
      <c r="M380" s="312"/>
      <c r="N380" s="312"/>
      <c r="O380" s="312"/>
      <c r="P380" s="554" t="s">
        <v>888</v>
      </c>
      <c r="Q380" s="292"/>
      <c r="R380" s="170"/>
      <c r="S380" s="389"/>
      <c r="T380" s="501" t="s">
        <v>1032</v>
      </c>
      <c r="U380" s="501" t="s">
        <v>1440</v>
      </c>
      <c r="W380" s="431" t="s">
        <v>104</v>
      </c>
      <c r="X380" s="431" t="s">
        <v>3328</v>
      </c>
      <c r="AA380" s="26"/>
      <c r="AB380" s="26"/>
      <c r="AC380" s="931"/>
      <c r="AD380" s="512"/>
    </row>
    <row r="381" spans="6:30" ht="10.5" customHeight="1">
      <c r="F381" s="332"/>
      <c r="G381" s="312"/>
      <c r="H381" s="312"/>
      <c r="I381" s="312"/>
      <c r="J381" s="312"/>
      <c r="K381" s="312"/>
      <c r="L381" s="312"/>
      <c r="M381" s="312"/>
      <c r="N381" s="312"/>
      <c r="O381" s="312"/>
      <c r="P381" s="554" t="s">
        <v>890</v>
      </c>
      <c r="Q381" s="292"/>
      <c r="R381" s="170"/>
      <c r="S381" s="389"/>
      <c r="T381" s="501" t="s">
        <v>231</v>
      </c>
      <c r="U381" s="501" t="s">
        <v>1078</v>
      </c>
      <c r="W381" s="431" t="s">
        <v>293</v>
      </c>
      <c r="X381" s="431" t="s">
        <v>3328</v>
      </c>
      <c r="AA381" s="26"/>
      <c r="AB381" s="26"/>
      <c r="AC381" s="931"/>
      <c r="AD381" s="512"/>
    </row>
    <row r="382" spans="6:30" ht="10.5" customHeight="1">
      <c r="F382" s="332"/>
      <c r="G382" s="312"/>
      <c r="H382" s="312"/>
      <c r="I382" s="312"/>
      <c r="J382" s="312"/>
      <c r="K382" s="312"/>
      <c r="L382" s="312"/>
      <c r="M382" s="312"/>
      <c r="N382" s="312"/>
      <c r="O382" s="312"/>
      <c r="P382" s="554" t="s">
        <v>892</v>
      </c>
      <c r="Q382" s="292"/>
      <c r="R382" s="170"/>
      <c r="S382" s="389"/>
      <c r="T382" s="501" t="s">
        <v>649</v>
      </c>
      <c r="U382" s="501" t="s">
        <v>315</v>
      </c>
      <c r="W382" s="431" t="s">
        <v>294</v>
      </c>
      <c r="X382" s="431" t="s">
        <v>3328</v>
      </c>
      <c r="AA382" s="26"/>
      <c r="AB382" s="26"/>
      <c r="AC382" s="931"/>
      <c r="AD382" s="512"/>
    </row>
    <row r="383" spans="6:30" ht="10.5" customHeight="1">
      <c r="F383" s="332"/>
      <c r="G383" s="312"/>
      <c r="H383" s="312"/>
      <c r="I383" s="312"/>
      <c r="J383" s="312"/>
      <c r="K383" s="312"/>
      <c r="L383" s="312"/>
      <c r="M383" s="312"/>
      <c r="N383" s="312"/>
      <c r="O383" s="312"/>
      <c r="P383" s="554" t="s">
        <v>894</v>
      </c>
      <c r="Q383" s="292"/>
      <c r="R383" s="170"/>
      <c r="S383" s="389"/>
      <c r="T383" s="501" t="s">
        <v>775</v>
      </c>
      <c r="U383" s="501" t="s">
        <v>649</v>
      </c>
      <c r="W383" s="431" t="s">
        <v>295</v>
      </c>
      <c r="X383" s="431" t="s">
        <v>3328</v>
      </c>
      <c r="AA383" s="26"/>
      <c r="AB383" s="26"/>
      <c r="AC383" s="931"/>
      <c r="AD383" s="512"/>
    </row>
    <row r="384" spans="6:30" ht="10.5" customHeight="1">
      <c r="F384" s="332"/>
      <c r="G384" s="312"/>
      <c r="H384" s="312"/>
      <c r="I384" s="312"/>
      <c r="J384" s="312"/>
      <c r="K384" s="312"/>
      <c r="L384" s="312"/>
      <c r="M384" s="312"/>
      <c r="N384" s="312"/>
      <c r="O384" s="312"/>
      <c r="P384" s="554" t="s">
        <v>896</v>
      </c>
      <c r="Q384" s="292"/>
      <c r="R384" s="170"/>
      <c r="S384" s="389"/>
      <c r="T384" s="501" t="s">
        <v>1204</v>
      </c>
      <c r="U384" s="501" t="s">
        <v>2457</v>
      </c>
      <c r="W384" s="431" t="s">
        <v>1522</v>
      </c>
      <c r="X384" s="431" t="s">
        <v>3328</v>
      </c>
      <c r="AA384" s="26"/>
      <c r="AB384" s="26"/>
      <c r="AC384" s="931"/>
      <c r="AD384" s="512"/>
    </row>
    <row r="385" spans="6:30" ht="10.5" customHeight="1">
      <c r="F385" s="332"/>
      <c r="G385" s="312"/>
      <c r="H385" s="312"/>
      <c r="I385" s="312"/>
      <c r="J385" s="312"/>
      <c r="K385" s="312"/>
      <c r="L385" s="312"/>
      <c r="M385" s="312"/>
      <c r="N385" s="312"/>
      <c r="O385" s="312"/>
      <c r="P385" s="554" t="s">
        <v>668</v>
      </c>
      <c r="Q385" s="292"/>
      <c r="R385" s="170"/>
      <c r="S385" s="389"/>
      <c r="T385" s="501" t="s">
        <v>1206</v>
      </c>
      <c r="U385" s="501" t="s">
        <v>308</v>
      </c>
      <c r="W385" s="431" t="s">
        <v>1523</v>
      </c>
      <c r="X385" s="431" t="s">
        <v>3328</v>
      </c>
      <c r="AA385" s="26"/>
      <c r="AB385" s="26"/>
      <c r="AC385" s="931"/>
      <c r="AD385" s="512"/>
    </row>
    <row r="386" spans="6:30" ht="10.5" customHeight="1">
      <c r="F386" s="332"/>
      <c r="G386" s="312"/>
      <c r="H386" s="312"/>
      <c r="I386" s="312"/>
      <c r="J386" s="312"/>
      <c r="K386" s="312"/>
      <c r="L386" s="312"/>
      <c r="M386" s="312"/>
      <c r="N386" s="312"/>
      <c r="O386" s="312"/>
      <c r="P386" s="554" t="s">
        <v>52</v>
      </c>
      <c r="Q386" s="292"/>
      <c r="R386" s="170"/>
      <c r="S386" s="389"/>
      <c r="T386" s="501" t="s">
        <v>1208</v>
      </c>
      <c r="U386" s="501" t="s">
        <v>157</v>
      </c>
      <c r="W386" s="431" t="s">
        <v>1524</v>
      </c>
      <c r="X386" s="431" t="s">
        <v>3328</v>
      </c>
      <c r="AA386" s="26"/>
      <c r="AB386" s="26"/>
      <c r="AC386" s="931"/>
      <c r="AD386" s="512"/>
    </row>
    <row r="387" spans="6:30" ht="10.5" customHeight="1">
      <c r="F387" s="332"/>
      <c r="G387" s="312"/>
      <c r="H387" s="312"/>
      <c r="I387" s="312"/>
      <c r="J387" s="312"/>
      <c r="K387" s="312"/>
      <c r="L387" s="312"/>
      <c r="M387" s="312"/>
      <c r="N387" s="312"/>
      <c r="O387" s="312"/>
      <c r="P387" s="554" t="s">
        <v>948</v>
      </c>
      <c r="Q387" s="292"/>
      <c r="R387" s="170"/>
      <c r="S387" s="389"/>
      <c r="T387" s="501" t="s">
        <v>886</v>
      </c>
      <c r="U387" s="501" t="s">
        <v>2214</v>
      </c>
      <c r="W387" s="431" t="s">
        <v>1529</v>
      </c>
      <c r="X387" s="431" t="s">
        <v>3328</v>
      </c>
      <c r="AA387" s="26"/>
      <c r="AB387" s="26"/>
      <c r="AC387" s="931"/>
      <c r="AD387" s="512"/>
    </row>
    <row r="388" spans="6:30" ht="10.5" customHeight="1">
      <c r="F388" s="332"/>
      <c r="G388" s="312"/>
      <c r="H388" s="312"/>
      <c r="I388" s="312"/>
      <c r="J388" s="312"/>
      <c r="K388" s="312"/>
      <c r="L388" s="312"/>
      <c r="M388" s="312"/>
      <c r="N388" s="312"/>
      <c r="O388" s="312"/>
      <c r="P388" s="554" t="s">
        <v>1720</v>
      </c>
      <c r="Q388" s="292"/>
      <c r="R388" s="170"/>
      <c r="S388" s="389"/>
      <c r="T388" s="501" t="s">
        <v>2430</v>
      </c>
      <c r="U388" s="501" t="s">
        <v>1852</v>
      </c>
      <c r="W388" s="431" t="s">
        <v>2353</v>
      </c>
      <c r="X388" s="431" t="s">
        <v>3328</v>
      </c>
      <c r="AA388" s="26"/>
      <c r="AB388" s="26"/>
      <c r="AC388" s="931"/>
      <c r="AD388" s="512"/>
    </row>
    <row r="389" spans="6:30" ht="10.5" customHeight="1">
      <c r="F389" s="332"/>
      <c r="G389" s="312"/>
      <c r="H389" s="312"/>
      <c r="I389" s="312"/>
      <c r="J389" s="312"/>
      <c r="K389" s="312"/>
      <c r="L389" s="312"/>
      <c r="M389" s="312"/>
      <c r="N389" s="312"/>
      <c r="O389" s="312"/>
      <c r="P389" s="554" t="s">
        <v>985</v>
      </c>
      <c r="Q389" s="292"/>
      <c r="R389" s="170"/>
      <c r="S389" s="389"/>
      <c r="T389" s="501" t="s">
        <v>889</v>
      </c>
      <c r="U389" s="501" t="s">
        <v>2152</v>
      </c>
      <c r="W389" s="431" t="s">
        <v>822</v>
      </c>
      <c r="X389" s="431" t="s">
        <v>3328</v>
      </c>
      <c r="AA389" s="26"/>
      <c r="AB389" s="26"/>
      <c r="AC389" s="931"/>
      <c r="AD389" s="512"/>
    </row>
    <row r="390" spans="6:30" ht="10.5" customHeight="1">
      <c r="F390" s="332"/>
      <c r="G390" s="312"/>
      <c r="H390" s="312"/>
      <c r="I390" s="312"/>
      <c r="J390" s="312"/>
      <c r="K390" s="312"/>
      <c r="L390" s="312"/>
      <c r="M390" s="312"/>
      <c r="N390" s="312"/>
      <c r="O390" s="312"/>
      <c r="P390" s="554" t="s">
        <v>986</v>
      </c>
      <c r="Q390" s="292"/>
      <c r="R390" s="170"/>
      <c r="S390" s="389"/>
      <c r="T390" s="555" t="s">
        <v>891</v>
      </c>
      <c r="U390" s="555" t="s">
        <v>1090</v>
      </c>
      <c r="W390" s="431" t="s">
        <v>824</v>
      </c>
      <c r="X390" s="431" t="s">
        <v>3328</v>
      </c>
      <c r="AA390" s="26"/>
      <c r="AB390" s="26"/>
      <c r="AC390" s="931"/>
      <c r="AD390" s="512"/>
    </row>
    <row r="391" spans="6:30" ht="10.5" customHeight="1">
      <c r="F391" s="332"/>
      <c r="G391" s="312"/>
      <c r="H391" s="312"/>
      <c r="I391" s="312"/>
      <c r="J391" s="312"/>
      <c r="K391" s="312"/>
      <c r="L391" s="312"/>
      <c r="M391" s="312"/>
      <c r="N391" s="312"/>
      <c r="O391" s="312"/>
      <c r="P391" s="554" t="s">
        <v>988</v>
      </c>
      <c r="Q391" s="292"/>
      <c r="R391" s="170"/>
      <c r="S391" s="389"/>
      <c r="T391" s="501" t="s">
        <v>893</v>
      </c>
      <c r="U391" s="501" t="s">
        <v>653</v>
      </c>
      <c r="AA391" s="26"/>
      <c r="AB391" s="26"/>
      <c r="AC391" s="932"/>
      <c r="AD391" s="512"/>
    </row>
    <row r="392" spans="6:30" ht="10.5" customHeight="1">
      <c r="F392" s="332"/>
      <c r="G392" s="312"/>
      <c r="H392" s="312"/>
      <c r="I392" s="312"/>
      <c r="J392" s="312"/>
      <c r="K392" s="312"/>
      <c r="L392" s="312"/>
      <c r="M392" s="312"/>
      <c r="N392" s="312"/>
      <c r="O392" s="312"/>
      <c r="P392" s="554" t="s">
        <v>967</v>
      </c>
      <c r="Q392" s="292"/>
      <c r="R392" s="170"/>
      <c r="S392" s="389"/>
      <c r="T392" s="501" t="s">
        <v>895</v>
      </c>
      <c r="U392" s="501" t="s">
        <v>308</v>
      </c>
      <c r="AA392" s="26"/>
      <c r="AB392" s="26"/>
      <c r="AC392" s="931"/>
      <c r="AD392" s="512"/>
    </row>
    <row r="393" spans="6:30" ht="10.5" customHeight="1">
      <c r="F393" s="332"/>
      <c r="G393" s="312"/>
      <c r="H393" s="312"/>
      <c r="I393" s="312"/>
      <c r="J393" s="312"/>
      <c r="K393" s="312"/>
      <c r="L393" s="312"/>
      <c r="M393" s="312"/>
      <c r="N393" s="312"/>
      <c r="O393" s="312"/>
      <c r="P393" s="554" t="s">
        <v>969</v>
      </c>
      <c r="Q393" s="292"/>
      <c r="R393" s="170"/>
      <c r="S393" s="389"/>
      <c r="T393" s="501" t="s">
        <v>897</v>
      </c>
      <c r="U393" s="501" t="s">
        <v>1314</v>
      </c>
      <c r="AA393" s="26"/>
      <c r="AB393" s="26"/>
      <c r="AC393" s="931"/>
      <c r="AD393" s="512"/>
    </row>
    <row r="394" spans="6:30" ht="10.5" customHeight="1">
      <c r="F394" s="332"/>
      <c r="G394" s="312"/>
      <c r="H394" s="312"/>
      <c r="I394" s="312"/>
      <c r="J394" s="312"/>
      <c r="K394" s="312"/>
      <c r="L394" s="312"/>
      <c r="M394" s="312"/>
      <c r="N394" s="312"/>
      <c r="O394" s="312"/>
      <c r="P394" s="554" t="s">
        <v>971</v>
      </c>
      <c r="Q394" s="292"/>
      <c r="R394" s="170"/>
      <c r="S394" s="389"/>
      <c r="T394" s="555" t="s">
        <v>669</v>
      </c>
      <c r="U394" s="555" t="s">
        <v>2156</v>
      </c>
      <c r="AA394" s="26"/>
      <c r="AB394" s="26"/>
      <c r="AC394" s="931"/>
      <c r="AD394" s="512"/>
    </row>
    <row r="395" spans="6:30" ht="10.5" customHeight="1">
      <c r="F395" s="332"/>
      <c r="G395" s="312"/>
      <c r="H395" s="312"/>
      <c r="I395" s="312"/>
      <c r="J395" s="312"/>
      <c r="K395" s="312"/>
      <c r="L395" s="312"/>
      <c r="M395" s="312"/>
      <c r="N395" s="312"/>
      <c r="O395" s="312"/>
      <c r="P395" s="554" t="s">
        <v>973</v>
      </c>
      <c r="Q395" s="292"/>
      <c r="R395" s="170"/>
      <c r="S395" s="389"/>
      <c r="T395" s="501" t="s">
        <v>53</v>
      </c>
      <c r="U395" s="501" t="s">
        <v>110</v>
      </c>
      <c r="AA395" s="26"/>
      <c r="AB395" s="26"/>
      <c r="AC395" s="932"/>
      <c r="AD395" s="512"/>
    </row>
    <row r="396" spans="6:30" ht="10.5" customHeight="1">
      <c r="F396" s="332"/>
      <c r="G396" s="312"/>
      <c r="H396" s="312"/>
      <c r="I396" s="312"/>
      <c r="J396" s="312"/>
      <c r="K396" s="312"/>
      <c r="L396" s="312"/>
      <c r="M396" s="312"/>
      <c r="N396" s="312"/>
      <c r="O396" s="312"/>
      <c r="P396" s="554" t="s">
        <v>563</v>
      </c>
      <c r="Q396" s="292"/>
      <c r="R396" s="170"/>
      <c r="S396" s="389"/>
      <c r="T396" s="501" t="s">
        <v>949</v>
      </c>
      <c r="U396" s="501" t="s">
        <v>1982</v>
      </c>
      <c r="AA396" s="26"/>
      <c r="AB396" s="26"/>
      <c r="AC396" s="931"/>
      <c r="AD396" s="512"/>
    </row>
    <row r="397" spans="6:30" ht="10.5" customHeight="1">
      <c r="F397" s="332"/>
      <c r="G397" s="312"/>
      <c r="H397" s="312"/>
      <c r="I397" s="312"/>
      <c r="J397" s="312"/>
      <c r="K397" s="312"/>
      <c r="L397" s="312"/>
      <c r="M397" s="312"/>
      <c r="N397" s="312"/>
      <c r="O397" s="312"/>
      <c r="P397" s="554" t="s">
        <v>368</v>
      </c>
      <c r="Q397" s="292"/>
      <c r="R397" s="170"/>
      <c r="S397" s="389"/>
      <c r="T397" s="501" t="s">
        <v>656</v>
      </c>
      <c r="U397" s="501" t="s">
        <v>2368</v>
      </c>
      <c r="AA397" s="26"/>
      <c r="AB397" s="26"/>
      <c r="AC397" s="931"/>
      <c r="AD397" s="512"/>
    </row>
    <row r="398" spans="6:30" ht="10.5" customHeight="1">
      <c r="F398" s="332"/>
      <c r="G398" s="312"/>
      <c r="H398" s="312"/>
      <c r="I398" s="312"/>
      <c r="J398" s="312"/>
      <c r="K398" s="312"/>
      <c r="L398" s="312"/>
      <c r="M398" s="312"/>
      <c r="N398" s="312"/>
      <c r="O398" s="312"/>
      <c r="P398" s="554" t="s">
        <v>370</v>
      </c>
      <c r="Q398" s="292"/>
      <c r="R398" s="170"/>
      <c r="S398" s="389"/>
      <c r="T398" s="501" t="s">
        <v>987</v>
      </c>
      <c r="U398" s="501" t="s">
        <v>1195</v>
      </c>
      <c r="AA398" s="26"/>
      <c r="AB398" s="26"/>
      <c r="AC398" s="931"/>
      <c r="AD398" s="512"/>
    </row>
    <row r="399" spans="6:30" ht="10.5" customHeight="1">
      <c r="F399" s="332"/>
      <c r="G399" s="312"/>
      <c r="H399" s="312"/>
      <c r="I399" s="312"/>
      <c r="J399" s="312"/>
      <c r="K399" s="312"/>
      <c r="L399" s="312"/>
      <c r="M399" s="312"/>
      <c r="N399" s="312"/>
      <c r="O399" s="312"/>
      <c r="P399" s="554" t="s">
        <v>372</v>
      </c>
      <c r="Q399" s="292"/>
      <c r="R399" s="170"/>
      <c r="S399" s="389"/>
      <c r="T399" s="501" t="s">
        <v>989</v>
      </c>
      <c r="U399" s="501" t="s">
        <v>2498</v>
      </c>
      <c r="AA399" s="26"/>
      <c r="AB399" s="26"/>
      <c r="AC399" s="931"/>
      <c r="AD399" s="512"/>
    </row>
    <row r="400" spans="6:30" ht="10.5" customHeight="1">
      <c r="F400" s="332"/>
      <c r="G400" s="312"/>
      <c r="H400" s="312"/>
      <c r="I400" s="312"/>
      <c r="J400" s="312"/>
      <c r="K400" s="312"/>
      <c r="L400" s="312"/>
      <c r="M400" s="312"/>
      <c r="N400" s="312"/>
      <c r="O400" s="312"/>
      <c r="P400" s="554" t="s">
        <v>586</v>
      </c>
      <c r="Q400" s="292"/>
      <c r="R400" s="170"/>
      <c r="S400" s="389"/>
      <c r="T400" s="555" t="s">
        <v>968</v>
      </c>
      <c r="U400" s="555" t="s">
        <v>424</v>
      </c>
      <c r="AA400" s="26"/>
      <c r="AB400" s="26"/>
      <c r="AC400" s="931"/>
      <c r="AD400" s="512"/>
    </row>
    <row r="401" spans="6:30" ht="10.5" customHeight="1">
      <c r="F401" s="332"/>
      <c r="G401" s="312"/>
      <c r="H401" s="312"/>
      <c r="I401" s="312"/>
      <c r="J401" s="312"/>
      <c r="K401" s="312"/>
      <c r="L401" s="312"/>
      <c r="M401" s="312"/>
      <c r="N401" s="312"/>
      <c r="O401" s="312"/>
      <c r="P401" s="554" t="s">
        <v>1400</v>
      </c>
      <c r="Q401" s="292"/>
      <c r="R401" s="170"/>
      <c r="S401" s="389"/>
      <c r="T401" s="501" t="s">
        <v>970</v>
      </c>
      <c r="U401" s="501" t="s">
        <v>119</v>
      </c>
      <c r="AA401" s="26"/>
      <c r="AB401" s="26"/>
      <c r="AC401" s="932"/>
      <c r="AD401" s="512"/>
    </row>
    <row r="402" spans="6:30" ht="10.5" customHeight="1">
      <c r="F402" s="332"/>
      <c r="G402" s="312"/>
      <c r="H402" s="312"/>
      <c r="I402" s="312"/>
      <c r="J402" s="312"/>
      <c r="K402" s="312"/>
      <c r="L402" s="312"/>
      <c r="M402" s="312"/>
      <c r="N402" s="312"/>
      <c r="O402" s="312"/>
      <c r="P402" s="554" t="s">
        <v>1575</v>
      </c>
      <c r="Q402" s="292"/>
      <c r="R402" s="170"/>
      <c r="S402" s="389"/>
      <c r="T402" s="501" t="s">
        <v>972</v>
      </c>
      <c r="U402" s="501" t="s">
        <v>660</v>
      </c>
      <c r="AA402" s="26"/>
      <c r="AB402" s="26"/>
      <c r="AC402" s="931"/>
      <c r="AD402" s="512"/>
    </row>
    <row r="403" spans="6:30" ht="10.5" customHeight="1">
      <c r="F403" s="332"/>
      <c r="G403" s="312"/>
      <c r="H403" s="312"/>
      <c r="I403" s="312"/>
      <c r="J403" s="312"/>
      <c r="K403" s="312"/>
      <c r="L403" s="312"/>
      <c r="M403" s="312"/>
      <c r="N403" s="312"/>
      <c r="O403" s="312"/>
      <c r="P403" s="554" t="s">
        <v>995</v>
      </c>
      <c r="Q403" s="292"/>
      <c r="R403" s="170"/>
      <c r="S403" s="389"/>
      <c r="T403" s="501" t="s">
        <v>974</v>
      </c>
      <c r="U403" s="501" t="s">
        <v>1852</v>
      </c>
      <c r="AA403" s="26"/>
      <c r="AB403" s="26"/>
      <c r="AC403" s="931"/>
      <c r="AD403" s="512"/>
    </row>
    <row r="404" spans="6:30" ht="10.5" customHeight="1">
      <c r="F404" s="332"/>
      <c r="G404" s="312"/>
      <c r="H404" s="312"/>
      <c r="I404" s="312"/>
      <c r="J404" s="312"/>
      <c r="K404" s="312"/>
      <c r="L404" s="312"/>
      <c r="M404" s="312"/>
      <c r="N404" s="312"/>
      <c r="O404" s="312"/>
      <c r="P404" s="554" t="s">
        <v>997</v>
      </c>
      <c r="Q404" s="292"/>
      <c r="R404" s="170"/>
      <c r="S404" s="389"/>
      <c r="T404" s="501" t="s">
        <v>1033</v>
      </c>
      <c r="U404" s="501" t="s">
        <v>617</v>
      </c>
      <c r="AA404" s="26"/>
      <c r="AB404" s="26"/>
      <c r="AC404" s="931"/>
      <c r="AD404" s="512"/>
    </row>
    <row r="405" spans="6:30" ht="10.5" customHeight="1">
      <c r="F405" s="332"/>
      <c r="G405" s="312"/>
      <c r="H405" s="312"/>
      <c r="I405" s="312"/>
      <c r="J405" s="312"/>
      <c r="K405" s="312"/>
      <c r="L405" s="312"/>
      <c r="M405" s="312"/>
      <c r="N405" s="312"/>
      <c r="O405" s="312"/>
      <c r="P405" s="554" t="s">
        <v>999</v>
      </c>
      <c r="Q405" s="292"/>
      <c r="R405" s="170"/>
      <c r="S405" s="389"/>
      <c r="T405" s="501" t="s">
        <v>564</v>
      </c>
      <c r="U405" s="501" t="s">
        <v>2145</v>
      </c>
      <c r="AA405" s="26"/>
      <c r="AB405" s="26"/>
      <c r="AC405" s="931"/>
      <c r="AD405" s="512"/>
    </row>
    <row r="406" spans="6:30" ht="10.5" customHeight="1">
      <c r="F406" s="332"/>
      <c r="G406" s="312"/>
      <c r="H406" s="312"/>
      <c r="I406" s="312"/>
      <c r="J406" s="312"/>
      <c r="K406" s="312"/>
      <c r="L406" s="312"/>
      <c r="M406" s="312"/>
      <c r="N406" s="312"/>
      <c r="O406" s="312"/>
      <c r="P406" s="554" t="s">
        <v>1655</v>
      </c>
      <c r="Q406" s="292"/>
      <c r="R406" s="170"/>
      <c r="S406" s="389"/>
      <c r="T406" s="501" t="s">
        <v>369</v>
      </c>
      <c r="U406" s="501" t="s">
        <v>2495</v>
      </c>
      <c r="AA406" s="26"/>
      <c r="AB406" s="26"/>
      <c r="AC406" s="931"/>
      <c r="AD406" s="512"/>
    </row>
    <row r="407" spans="6:30" ht="10.5" customHeight="1">
      <c r="F407" s="332"/>
      <c r="G407" s="312"/>
      <c r="H407" s="312"/>
      <c r="I407" s="312"/>
      <c r="J407" s="312"/>
      <c r="K407" s="312"/>
      <c r="L407" s="312"/>
      <c r="M407" s="312"/>
      <c r="N407" s="312"/>
      <c r="O407" s="312"/>
      <c r="P407" s="554" t="s">
        <v>1656</v>
      </c>
      <c r="Q407" s="292"/>
      <c r="R407" s="170"/>
      <c r="S407" s="389"/>
      <c r="T407" s="501" t="s">
        <v>371</v>
      </c>
      <c r="U407" s="501" t="s">
        <v>1440</v>
      </c>
      <c r="AA407" s="26"/>
      <c r="AB407" s="26"/>
      <c r="AC407" s="931"/>
      <c r="AD407" s="512"/>
    </row>
    <row r="408" spans="6:30" ht="10.5" customHeight="1">
      <c r="F408" s="332"/>
      <c r="G408" s="312"/>
      <c r="H408" s="312"/>
      <c r="I408" s="312"/>
      <c r="J408" s="312"/>
      <c r="K408" s="312"/>
      <c r="L408" s="312"/>
      <c r="M408" s="312"/>
      <c r="N408" s="312"/>
      <c r="O408" s="312"/>
      <c r="P408" s="554" t="s">
        <v>1657</v>
      </c>
      <c r="Q408" s="292"/>
      <c r="R408" s="170"/>
      <c r="S408" s="389"/>
      <c r="T408" s="501" t="s">
        <v>1034</v>
      </c>
      <c r="U408" s="501" t="s">
        <v>1885</v>
      </c>
      <c r="AA408" s="26"/>
      <c r="AB408" s="26"/>
      <c r="AC408" s="931"/>
      <c r="AD408" s="512"/>
    </row>
    <row r="409" spans="6:30" ht="10.5" customHeight="1">
      <c r="F409" s="332"/>
      <c r="G409" s="312"/>
      <c r="H409" s="312"/>
      <c r="I409" s="312"/>
      <c r="J409" s="312"/>
      <c r="K409" s="312"/>
      <c r="L409" s="312"/>
      <c r="M409" s="312"/>
      <c r="N409" s="312"/>
      <c r="O409" s="312"/>
      <c r="P409" s="554" t="s">
        <v>851</v>
      </c>
      <c r="Q409" s="292"/>
      <c r="R409" s="170"/>
      <c r="S409" s="389"/>
      <c r="T409" s="501" t="s">
        <v>373</v>
      </c>
      <c r="U409" s="501" t="s">
        <v>864</v>
      </c>
      <c r="AA409" s="26"/>
      <c r="AB409" s="26"/>
      <c r="AC409" s="931"/>
      <c r="AD409" s="512"/>
    </row>
    <row r="410" spans="6:30" ht="10.5" customHeight="1">
      <c r="F410" s="332"/>
      <c r="G410" s="312"/>
      <c r="H410" s="312"/>
      <c r="I410" s="312"/>
      <c r="J410" s="312"/>
      <c r="K410" s="312"/>
      <c r="L410" s="312"/>
      <c r="M410" s="312"/>
      <c r="N410" s="312"/>
      <c r="O410" s="312"/>
      <c r="P410" s="554" t="s">
        <v>853</v>
      </c>
      <c r="Q410" s="292"/>
      <c r="R410" s="170"/>
      <c r="S410" s="389"/>
      <c r="T410" s="501" t="s">
        <v>1401</v>
      </c>
      <c r="U410" s="501" t="s">
        <v>2216</v>
      </c>
      <c r="AA410" s="26"/>
      <c r="AB410" s="26"/>
      <c r="AC410" s="931"/>
      <c r="AD410" s="512"/>
    </row>
    <row r="411" spans="6:30" ht="10.5" customHeight="1">
      <c r="F411" s="332"/>
      <c r="G411" s="312"/>
      <c r="H411" s="312"/>
      <c r="I411" s="312"/>
      <c r="J411" s="312"/>
      <c r="K411" s="312"/>
      <c r="L411" s="312"/>
      <c r="M411" s="312"/>
      <c r="N411" s="312"/>
      <c r="O411" s="312"/>
      <c r="P411" s="554" t="s">
        <v>855</v>
      </c>
      <c r="Q411" s="292"/>
      <c r="R411" s="170"/>
      <c r="S411" s="389"/>
      <c r="T411" s="501" t="s">
        <v>1576</v>
      </c>
      <c r="U411" s="501" t="s">
        <v>173</v>
      </c>
      <c r="AA411" s="26"/>
      <c r="AB411" s="26"/>
      <c r="AC411" s="931"/>
      <c r="AD411" s="512"/>
    </row>
    <row r="412" spans="6:30" ht="10.5" customHeight="1">
      <c r="F412" s="332"/>
      <c r="G412" s="312"/>
      <c r="H412" s="312"/>
      <c r="I412" s="312"/>
      <c r="J412" s="312"/>
      <c r="K412" s="312"/>
      <c r="L412" s="312"/>
      <c r="M412" s="312"/>
      <c r="N412" s="312"/>
      <c r="O412" s="312"/>
      <c r="P412" s="554" t="s">
        <v>427</v>
      </c>
      <c r="Q412" s="292"/>
      <c r="R412" s="170"/>
      <c r="S412" s="389"/>
      <c r="T412" s="501" t="s">
        <v>996</v>
      </c>
      <c r="U412" s="501" t="s">
        <v>312</v>
      </c>
      <c r="AA412" s="26"/>
      <c r="AB412" s="26"/>
      <c r="AC412" s="931"/>
      <c r="AD412" s="512"/>
    </row>
    <row r="413" spans="6:30" ht="10.5" customHeight="1">
      <c r="F413" s="332"/>
      <c r="G413" s="312"/>
      <c r="H413" s="312"/>
      <c r="I413" s="312"/>
      <c r="J413" s="312"/>
      <c r="K413" s="312"/>
      <c r="L413" s="312"/>
      <c r="M413" s="312"/>
      <c r="N413" s="312"/>
      <c r="O413" s="312"/>
      <c r="P413" s="554" t="s">
        <v>1701</v>
      </c>
      <c r="Q413" s="292"/>
      <c r="R413" s="170"/>
      <c r="S413" s="389"/>
      <c r="T413" s="555" t="s">
        <v>998</v>
      </c>
      <c r="U413" s="555" t="s">
        <v>316</v>
      </c>
      <c r="AA413" s="26"/>
      <c r="AB413" s="26"/>
      <c r="AC413" s="931"/>
      <c r="AD413" s="512"/>
    </row>
    <row r="414" spans="6:30" ht="10.5" customHeight="1">
      <c r="F414" s="332"/>
      <c r="G414" s="312"/>
      <c r="H414" s="312"/>
      <c r="I414" s="312"/>
      <c r="J414" s="312"/>
      <c r="K414" s="312"/>
      <c r="L414" s="312"/>
      <c r="M414" s="312"/>
      <c r="N414" s="312"/>
      <c r="O414" s="312"/>
      <c r="P414" s="554" t="s">
        <v>2258</v>
      </c>
      <c r="Q414" s="292"/>
      <c r="R414" s="170"/>
      <c r="S414" s="389"/>
      <c r="T414" s="501" t="s">
        <v>1035</v>
      </c>
      <c r="U414" s="501" t="s">
        <v>1979</v>
      </c>
      <c r="AA414" s="26"/>
      <c r="AB414" s="26"/>
      <c r="AC414" s="932"/>
      <c r="AD414" s="512"/>
    </row>
    <row r="415" spans="6:30" ht="10.5" customHeight="1">
      <c r="F415" s="332"/>
      <c r="G415" s="312"/>
      <c r="H415" s="312"/>
      <c r="I415" s="312"/>
      <c r="J415" s="312"/>
      <c r="K415" s="312"/>
      <c r="L415" s="312"/>
      <c r="M415" s="312"/>
      <c r="N415" s="312"/>
      <c r="O415" s="312"/>
      <c r="P415" s="554" t="s">
        <v>1977</v>
      </c>
      <c r="Q415" s="292"/>
      <c r="R415" s="170"/>
      <c r="S415" s="389"/>
      <c r="T415" s="501" t="s">
        <v>1000</v>
      </c>
      <c r="U415" s="501" t="s">
        <v>1191</v>
      </c>
      <c r="AA415" s="26"/>
      <c r="AB415" s="26"/>
      <c r="AC415" s="931"/>
      <c r="AD415" s="512"/>
    </row>
    <row r="416" spans="6:30" ht="10.5" customHeight="1">
      <c r="F416" s="332"/>
      <c r="G416" s="312"/>
      <c r="H416" s="312"/>
      <c r="I416" s="312"/>
      <c r="J416" s="312"/>
      <c r="K416" s="312"/>
      <c r="L416" s="312"/>
      <c r="M416" s="312"/>
      <c r="N416" s="312"/>
      <c r="O416" s="312"/>
      <c r="P416" s="554" t="s">
        <v>1019</v>
      </c>
      <c r="Q416" s="292"/>
      <c r="R416" s="170"/>
      <c r="S416" s="389"/>
      <c r="T416" s="501" t="s">
        <v>311</v>
      </c>
      <c r="U416" s="501" t="s">
        <v>2498</v>
      </c>
      <c r="AA416" s="26"/>
      <c r="AB416" s="26"/>
      <c r="AC416" s="931"/>
      <c r="AD416" s="512"/>
    </row>
    <row r="417" spans="6:30" ht="10.5" customHeight="1">
      <c r="F417" s="332"/>
      <c r="G417" s="312"/>
      <c r="H417" s="312"/>
      <c r="I417" s="312"/>
      <c r="J417" s="312"/>
      <c r="K417" s="312"/>
      <c r="L417" s="312"/>
      <c r="M417" s="312"/>
      <c r="N417" s="312"/>
      <c r="O417" s="312"/>
      <c r="P417" s="554" t="s">
        <v>407</v>
      </c>
      <c r="Q417" s="292"/>
      <c r="R417" s="170"/>
      <c r="S417" s="389"/>
      <c r="T417" s="501" t="s">
        <v>2805</v>
      </c>
      <c r="U417" s="501" t="s">
        <v>1761</v>
      </c>
      <c r="AA417" s="26"/>
      <c r="AB417" s="26"/>
      <c r="AC417" s="931"/>
      <c r="AD417" s="512"/>
    </row>
    <row r="418" spans="6:30" ht="10.5" customHeight="1">
      <c r="F418" s="332"/>
      <c r="G418" s="312"/>
      <c r="H418" s="312"/>
      <c r="I418" s="312"/>
      <c r="J418" s="312"/>
      <c r="K418" s="312"/>
      <c r="L418" s="312"/>
      <c r="M418" s="312"/>
      <c r="N418" s="312"/>
      <c r="O418" s="312"/>
      <c r="P418" s="554" t="s">
        <v>409</v>
      </c>
      <c r="Q418" s="292"/>
      <c r="R418" s="170"/>
      <c r="S418" s="389"/>
      <c r="T418" s="501" t="s">
        <v>1658</v>
      </c>
      <c r="U418" s="501" t="s">
        <v>2495</v>
      </c>
      <c r="AA418" s="26"/>
      <c r="AB418" s="26"/>
      <c r="AC418" s="931"/>
      <c r="AD418" s="512"/>
    </row>
    <row r="419" spans="6:30" ht="10.5" customHeight="1">
      <c r="F419" s="332"/>
      <c r="G419" s="312"/>
      <c r="H419" s="312"/>
      <c r="I419" s="312"/>
      <c r="J419" s="312"/>
      <c r="K419" s="312"/>
      <c r="L419" s="312"/>
      <c r="M419" s="312"/>
      <c r="N419" s="312"/>
      <c r="O419" s="312"/>
      <c r="P419" s="554" t="s">
        <v>410</v>
      </c>
      <c r="Q419" s="292"/>
      <c r="R419" s="170"/>
      <c r="S419" s="389"/>
      <c r="T419" s="501" t="s">
        <v>852</v>
      </c>
      <c r="U419" s="501" t="s">
        <v>104</v>
      </c>
      <c r="AA419" s="26"/>
      <c r="AB419" s="26"/>
      <c r="AC419" s="931"/>
      <c r="AD419" s="512"/>
    </row>
    <row r="420" spans="6:30" ht="10.5" customHeight="1">
      <c r="F420" s="332"/>
      <c r="G420" s="312"/>
      <c r="H420" s="312"/>
      <c r="I420" s="312"/>
      <c r="J420" s="312"/>
      <c r="K420" s="312"/>
      <c r="L420" s="312"/>
      <c r="M420" s="312"/>
      <c r="N420" s="312"/>
      <c r="O420" s="312"/>
      <c r="P420" s="554" t="s">
        <v>1917</v>
      </c>
      <c r="Q420" s="292"/>
      <c r="R420" s="170"/>
      <c r="S420" s="389"/>
      <c r="T420" s="501" t="s">
        <v>854</v>
      </c>
      <c r="U420" s="501" t="s">
        <v>313</v>
      </c>
      <c r="AA420" s="26"/>
      <c r="AB420" s="26"/>
      <c r="AC420" s="931"/>
      <c r="AD420" s="512"/>
    </row>
    <row r="421" spans="6:30" ht="10.5" customHeight="1">
      <c r="F421" s="332"/>
      <c r="G421" s="312"/>
      <c r="H421" s="312"/>
      <c r="I421" s="312"/>
      <c r="J421" s="312"/>
      <c r="K421" s="312"/>
      <c r="L421" s="312"/>
      <c r="M421" s="312"/>
      <c r="N421" s="312"/>
      <c r="O421" s="312"/>
      <c r="P421" s="554" t="s">
        <v>486</v>
      </c>
      <c r="Q421" s="292"/>
      <c r="R421" s="170"/>
      <c r="S421" s="389"/>
      <c r="T421" s="501" t="s">
        <v>1719</v>
      </c>
      <c r="U421" s="501" t="s">
        <v>1086</v>
      </c>
      <c r="AA421" s="26"/>
      <c r="AB421" s="26"/>
      <c r="AC421" s="931"/>
      <c r="AD421" s="512"/>
    </row>
    <row r="422" spans="6:30" ht="10.5" customHeight="1">
      <c r="F422" s="332"/>
      <c r="G422" s="312"/>
      <c r="H422" s="312"/>
      <c r="I422" s="312"/>
      <c r="J422" s="312"/>
      <c r="K422" s="312"/>
      <c r="L422" s="312"/>
      <c r="M422" s="312"/>
      <c r="N422" s="312"/>
      <c r="O422" s="312"/>
      <c r="P422" s="554" t="s">
        <v>2134</v>
      </c>
      <c r="Q422" s="292"/>
      <c r="R422" s="170"/>
      <c r="S422" s="389"/>
      <c r="T422" s="501" t="s">
        <v>620</v>
      </c>
      <c r="U422" s="501" t="s">
        <v>323</v>
      </c>
      <c r="AA422" s="26"/>
      <c r="AB422" s="26"/>
      <c r="AC422" s="931"/>
      <c r="AD422" s="512"/>
    </row>
    <row r="423" spans="6:30" ht="10.5" customHeight="1">
      <c r="F423" s="332"/>
      <c r="G423" s="312"/>
      <c r="H423" s="312"/>
      <c r="I423" s="312"/>
      <c r="J423" s="312"/>
      <c r="K423" s="312"/>
      <c r="L423" s="312"/>
      <c r="M423" s="312"/>
      <c r="N423" s="312"/>
      <c r="O423" s="312"/>
      <c r="P423" s="554" t="s">
        <v>1626</v>
      </c>
      <c r="Q423" s="292"/>
      <c r="R423" s="170"/>
      <c r="S423" s="389"/>
      <c r="T423" s="501" t="s">
        <v>1702</v>
      </c>
      <c r="U423" s="501" t="s">
        <v>112</v>
      </c>
      <c r="AA423" s="26"/>
      <c r="AB423" s="26"/>
      <c r="AC423" s="931"/>
      <c r="AD423" s="512"/>
    </row>
    <row r="424" spans="6:30" ht="10.5" customHeight="1">
      <c r="F424" s="332"/>
      <c r="G424" s="312"/>
      <c r="H424" s="312"/>
      <c r="I424" s="312"/>
      <c r="J424" s="312"/>
      <c r="K424" s="312"/>
      <c r="L424" s="312"/>
      <c r="M424" s="312"/>
      <c r="N424" s="312"/>
      <c r="O424" s="312"/>
      <c r="P424" s="554" t="s">
        <v>1628</v>
      </c>
      <c r="Q424" s="292"/>
      <c r="R424" s="170"/>
      <c r="S424" s="389"/>
      <c r="T424" s="501" t="s">
        <v>2806</v>
      </c>
      <c r="U424" s="501" t="s">
        <v>157</v>
      </c>
      <c r="AA424" s="26"/>
      <c r="AB424" s="26"/>
      <c r="AC424" s="931"/>
      <c r="AD424" s="512"/>
    </row>
    <row r="425" spans="6:30" ht="10.5" customHeight="1">
      <c r="F425" s="332"/>
      <c r="G425" s="312"/>
      <c r="H425" s="312"/>
      <c r="I425" s="312"/>
      <c r="J425" s="312"/>
      <c r="K425" s="312"/>
      <c r="L425" s="312"/>
      <c r="M425" s="312"/>
      <c r="N425" s="312"/>
      <c r="O425" s="312"/>
      <c r="P425" s="554" t="s">
        <v>303</v>
      </c>
      <c r="Q425" s="292"/>
      <c r="R425" s="170"/>
      <c r="S425" s="389"/>
      <c r="T425" s="501" t="s">
        <v>1978</v>
      </c>
      <c r="U425" s="501" t="s">
        <v>1096</v>
      </c>
      <c r="AA425" s="26"/>
      <c r="AB425" s="26"/>
      <c r="AC425" s="931"/>
      <c r="AD425" s="512"/>
    </row>
    <row r="426" spans="6:30" ht="10.5" customHeight="1">
      <c r="F426" s="332"/>
      <c r="G426" s="312"/>
      <c r="H426" s="312"/>
      <c r="I426" s="312"/>
      <c r="J426" s="312"/>
      <c r="K426" s="312"/>
      <c r="L426" s="312"/>
      <c r="M426" s="312"/>
      <c r="N426" s="312"/>
      <c r="O426" s="312"/>
      <c r="P426" s="554" t="s">
        <v>305</v>
      </c>
      <c r="Q426" s="292"/>
      <c r="R426" s="170"/>
      <c r="S426" s="389"/>
      <c r="T426" s="501" t="s">
        <v>2807</v>
      </c>
      <c r="U426" s="501" t="s">
        <v>316</v>
      </c>
      <c r="AA426" s="26"/>
      <c r="AB426" s="26"/>
      <c r="AC426" s="931"/>
      <c r="AD426" s="512"/>
    </row>
    <row r="427" spans="6:30" ht="10.5" customHeight="1">
      <c r="F427" s="332"/>
      <c r="G427" s="312"/>
      <c r="H427" s="312"/>
      <c r="I427" s="312"/>
      <c r="J427" s="312"/>
      <c r="K427" s="312"/>
      <c r="L427" s="312"/>
      <c r="M427" s="312"/>
      <c r="N427" s="312"/>
      <c r="O427" s="312"/>
      <c r="P427" s="554" t="s">
        <v>929</v>
      </c>
      <c r="Q427" s="292"/>
      <c r="R427" s="170"/>
      <c r="S427" s="389"/>
      <c r="T427" s="555" t="s">
        <v>1020</v>
      </c>
      <c r="U427" s="555" t="s">
        <v>1885</v>
      </c>
      <c r="AA427" s="26"/>
      <c r="AB427" s="26"/>
      <c r="AC427" s="931"/>
      <c r="AD427" s="512"/>
    </row>
    <row r="428" spans="6:30" ht="10.5" customHeight="1">
      <c r="F428" s="332"/>
      <c r="G428" s="312"/>
      <c r="H428" s="312"/>
      <c r="I428" s="312"/>
      <c r="J428" s="312"/>
      <c r="K428" s="312"/>
      <c r="L428" s="312"/>
      <c r="M428" s="312"/>
      <c r="N428" s="312"/>
      <c r="O428" s="312"/>
      <c r="P428" s="554" t="s">
        <v>2292</v>
      </c>
      <c r="Q428" s="292"/>
      <c r="R428" s="170"/>
      <c r="S428" s="389"/>
      <c r="T428" s="501" t="s">
        <v>408</v>
      </c>
      <c r="U428" s="501" t="s">
        <v>182</v>
      </c>
      <c r="AA428" s="26"/>
      <c r="AB428" s="26"/>
      <c r="AC428" s="932"/>
      <c r="AD428" s="512"/>
    </row>
    <row r="429" spans="6:30" ht="10.5" customHeight="1">
      <c r="F429" s="332"/>
      <c r="G429" s="312"/>
      <c r="H429" s="312"/>
      <c r="I429" s="312"/>
      <c r="J429" s="312"/>
      <c r="K429" s="312"/>
      <c r="L429" s="312"/>
      <c r="M429" s="312"/>
      <c r="N429" s="312"/>
      <c r="O429" s="312"/>
      <c r="P429" s="554" t="s">
        <v>2293</v>
      </c>
      <c r="Q429" s="292"/>
      <c r="R429" s="170"/>
      <c r="S429" s="389"/>
      <c r="T429" s="555" t="s">
        <v>1036</v>
      </c>
      <c r="U429" s="555" t="s">
        <v>1083</v>
      </c>
      <c r="AA429" s="26"/>
      <c r="AB429" s="26"/>
      <c r="AC429" s="931"/>
      <c r="AD429" s="512"/>
    </row>
    <row r="430" spans="6:30" ht="10.5" customHeight="1">
      <c r="F430" s="332"/>
      <c r="G430" s="312"/>
      <c r="H430" s="312"/>
      <c r="I430" s="312"/>
      <c r="J430" s="312"/>
      <c r="K430" s="312"/>
      <c r="L430" s="312"/>
      <c r="M430" s="312"/>
      <c r="N430" s="312"/>
      <c r="O430" s="312"/>
      <c r="P430" s="554" t="s">
        <v>2274</v>
      </c>
      <c r="Q430" s="292"/>
      <c r="R430" s="170"/>
      <c r="S430" s="389"/>
      <c r="T430" s="501" t="s">
        <v>411</v>
      </c>
      <c r="U430" s="501" t="s">
        <v>2141</v>
      </c>
      <c r="AA430" s="26"/>
      <c r="AB430" s="26"/>
      <c r="AC430" s="932"/>
      <c r="AD430" s="512"/>
    </row>
    <row r="431" spans="6:30" ht="10.5" customHeight="1">
      <c r="F431" s="332"/>
      <c r="G431" s="312"/>
      <c r="H431" s="312"/>
      <c r="I431" s="312"/>
      <c r="J431" s="312"/>
      <c r="K431" s="312"/>
      <c r="L431" s="312"/>
      <c r="M431" s="312"/>
      <c r="N431" s="312"/>
      <c r="O431" s="312"/>
      <c r="P431" s="554" t="s">
        <v>2275</v>
      </c>
      <c r="Q431" s="292"/>
      <c r="R431" s="170"/>
      <c r="S431" s="389"/>
      <c r="T431" s="555" t="s">
        <v>1918</v>
      </c>
      <c r="U431" s="555" t="s">
        <v>1440</v>
      </c>
      <c r="AA431" s="26"/>
      <c r="AB431" s="26"/>
      <c r="AC431" s="931"/>
      <c r="AD431" s="512"/>
    </row>
    <row r="432" spans="6:30" ht="10.5" customHeight="1">
      <c r="F432" s="332"/>
      <c r="G432" s="312"/>
      <c r="H432" s="312"/>
      <c r="I432" s="312"/>
      <c r="J432" s="312"/>
      <c r="K432" s="312"/>
      <c r="L432" s="312"/>
      <c r="M432" s="312"/>
      <c r="N432" s="312"/>
      <c r="O432" s="312"/>
      <c r="P432" s="554" t="s">
        <v>2277</v>
      </c>
      <c r="Q432" s="292"/>
      <c r="R432" s="170"/>
      <c r="S432" s="389"/>
      <c r="T432" s="501" t="s">
        <v>487</v>
      </c>
      <c r="U432" s="501" t="s">
        <v>2558</v>
      </c>
      <c r="AA432" s="26"/>
      <c r="AB432" s="26"/>
      <c r="AC432" s="932"/>
      <c r="AD432" s="512"/>
    </row>
    <row r="433" spans="6:30" ht="10.5" customHeight="1">
      <c r="F433" s="332"/>
      <c r="G433" s="312"/>
      <c r="H433" s="312"/>
      <c r="I433" s="312"/>
      <c r="J433" s="312"/>
      <c r="K433" s="312"/>
      <c r="L433" s="312"/>
      <c r="M433" s="312"/>
      <c r="N433" s="312"/>
      <c r="O433" s="312"/>
      <c r="P433" s="554" t="s">
        <v>504</v>
      </c>
      <c r="Q433" s="292"/>
      <c r="R433" s="170"/>
      <c r="S433" s="389"/>
      <c r="T433" s="501" t="s">
        <v>2135</v>
      </c>
      <c r="U433" s="501" t="s">
        <v>1308</v>
      </c>
      <c r="AA433" s="26"/>
      <c r="AB433" s="26"/>
      <c r="AC433" s="931"/>
      <c r="AD433" s="512"/>
    </row>
    <row r="434" spans="6:30" ht="10.5" customHeight="1">
      <c r="F434" s="332"/>
      <c r="G434" s="312"/>
      <c r="H434" s="312"/>
      <c r="I434" s="312"/>
      <c r="J434" s="312"/>
      <c r="K434" s="312"/>
      <c r="L434" s="312"/>
      <c r="M434" s="312"/>
      <c r="N434" s="312"/>
      <c r="O434" s="312"/>
      <c r="P434" s="554" t="s">
        <v>184</v>
      </c>
      <c r="Q434" s="292"/>
      <c r="R434" s="170"/>
      <c r="S434" s="389"/>
      <c r="T434" s="501" t="s">
        <v>1627</v>
      </c>
      <c r="U434" s="501" t="s">
        <v>1889</v>
      </c>
      <c r="AA434" s="26"/>
      <c r="AB434" s="26"/>
      <c r="AC434" s="931"/>
      <c r="AD434" s="512"/>
    </row>
    <row r="435" spans="6:30" ht="10.5" customHeight="1">
      <c r="F435" s="332"/>
      <c r="G435" s="312"/>
      <c r="H435" s="312"/>
      <c r="I435" s="312"/>
      <c r="J435" s="312"/>
      <c r="K435" s="312"/>
      <c r="L435" s="312"/>
      <c r="M435" s="312"/>
      <c r="N435" s="312"/>
      <c r="O435" s="312"/>
      <c r="P435" s="554" t="s">
        <v>2087</v>
      </c>
      <c r="Q435" s="292"/>
      <c r="R435" s="170"/>
      <c r="S435" s="389"/>
      <c r="T435" s="501" t="s">
        <v>1629</v>
      </c>
      <c r="U435" s="501" t="s">
        <v>162</v>
      </c>
      <c r="AA435" s="26"/>
      <c r="AB435" s="26"/>
      <c r="AC435" s="931"/>
      <c r="AD435" s="512"/>
    </row>
    <row r="436" spans="6:30" ht="10.5" customHeight="1">
      <c r="F436" s="332"/>
      <c r="G436" s="312"/>
      <c r="H436" s="312"/>
      <c r="I436" s="312"/>
      <c r="J436" s="312"/>
      <c r="K436" s="312"/>
      <c r="L436" s="312"/>
      <c r="M436" s="312"/>
      <c r="N436" s="312"/>
      <c r="O436" s="312"/>
      <c r="P436" s="554" t="s">
        <v>1949</v>
      </c>
      <c r="Q436" s="292"/>
      <c r="R436" s="170"/>
      <c r="S436" s="389"/>
      <c r="T436" s="501" t="s">
        <v>304</v>
      </c>
      <c r="U436" s="501" t="s">
        <v>155</v>
      </c>
      <c r="AA436" s="26"/>
      <c r="AB436" s="26"/>
      <c r="AC436" s="931"/>
      <c r="AD436" s="512"/>
    </row>
    <row r="437" spans="6:30" ht="10.5" customHeight="1">
      <c r="F437" s="332"/>
      <c r="G437" s="312"/>
      <c r="H437" s="312"/>
      <c r="I437" s="312"/>
      <c r="J437" s="312"/>
      <c r="K437" s="312"/>
      <c r="L437" s="312"/>
      <c r="M437" s="312"/>
      <c r="N437" s="312"/>
      <c r="O437" s="312"/>
      <c r="P437" s="554" t="s">
        <v>1951</v>
      </c>
      <c r="Q437" s="292"/>
      <c r="R437" s="170"/>
      <c r="S437" s="389"/>
      <c r="T437" s="501" t="s">
        <v>306</v>
      </c>
      <c r="U437" s="501" t="s">
        <v>1295</v>
      </c>
      <c r="AA437" s="26"/>
      <c r="AB437" s="26"/>
      <c r="AC437" s="931"/>
      <c r="AD437" s="512"/>
    </row>
    <row r="438" spans="6:30" ht="10.5" customHeight="1">
      <c r="F438" s="332"/>
      <c r="G438" s="312"/>
      <c r="H438" s="312"/>
      <c r="I438" s="312"/>
      <c r="J438" s="312"/>
      <c r="K438" s="312"/>
      <c r="L438" s="312"/>
      <c r="M438" s="312"/>
      <c r="N438" s="312"/>
      <c r="O438" s="312"/>
      <c r="P438" s="554" t="s">
        <v>1132</v>
      </c>
      <c r="Q438" s="292"/>
      <c r="R438" s="170"/>
      <c r="S438" s="389"/>
      <c r="T438" s="501" t="s">
        <v>930</v>
      </c>
      <c r="U438" s="501" t="s">
        <v>2452</v>
      </c>
      <c r="AA438" s="26"/>
      <c r="AB438" s="26"/>
      <c r="AC438" s="931"/>
      <c r="AD438" s="512"/>
    </row>
    <row r="439" spans="6:30" ht="10.5" customHeight="1">
      <c r="F439" s="332"/>
      <c r="G439" s="312"/>
      <c r="H439" s="312"/>
      <c r="I439" s="312"/>
      <c r="J439" s="312"/>
      <c r="K439" s="312"/>
      <c r="L439" s="312"/>
      <c r="M439" s="312"/>
      <c r="N439" s="312"/>
      <c r="O439" s="312"/>
      <c r="P439" s="554" t="s">
        <v>1134</v>
      </c>
      <c r="Q439" s="292"/>
      <c r="R439" s="170"/>
      <c r="S439" s="389"/>
      <c r="T439" s="501" t="s">
        <v>2294</v>
      </c>
      <c r="U439" s="501" t="s">
        <v>320</v>
      </c>
      <c r="AA439" s="26"/>
      <c r="AB439" s="26"/>
      <c r="AC439" s="931"/>
      <c r="AD439" s="512"/>
    </row>
    <row r="440" spans="6:30" ht="10.5" customHeight="1">
      <c r="F440" s="332"/>
      <c r="G440" s="312"/>
      <c r="H440" s="312"/>
      <c r="I440" s="312"/>
      <c r="J440" s="312"/>
      <c r="K440" s="312"/>
      <c r="L440" s="312"/>
      <c r="M440" s="312"/>
      <c r="N440" s="312"/>
      <c r="O440" s="312"/>
      <c r="P440" s="554" t="s">
        <v>1100</v>
      </c>
      <c r="Q440" s="292"/>
      <c r="R440" s="170"/>
      <c r="S440" s="389"/>
      <c r="T440" s="501" t="s">
        <v>2808</v>
      </c>
      <c r="U440" s="501" t="s">
        <v>2158</v>
      </c>
      <c r="AA440" s="26"/>
      <c r="AB440" s="26"/>
      <c r="AC440" s="931"/>
      <c r="AD440" s="512"/>
    </row>
    <row r="441" spans="6:30" ht="10.5" customHeight="1">
      <c r="F441" s="332"/>
      <c r="G441" s="312"/>
      <c r="H441" s="312"/>
      <c r="I441" s="312"/>
      <c r="J441" s="312"/>
      <c r="K441" s="312"/>
      <c r="L441" s="312"/>
      <c r="M441" s="312"/>
      <c r="N441" s="312"/>
      <c r="O441" s="312"/>
      <c r="P441" s="554" t="s">
        <v>1101</v>
      </c>
      <c r="Q441" s="292"/>
      <c r="R441" s="170"/>
      <c r="S441" s="389"/>
      <c r="T441" s="501" t="s">
        <v>2276</v>
      </c>
      <c r="U441" s="501" t="s">
        <v>177</v>
      </c>
      <c r="AA441" s="26"/>
      <c r="AB441" s="26"/>
      <c r="AC441" s="931"/>
      <c r="AD441" s="512"/>
    </row>
    <row r="442" spans="6:30" ht="10.5" customHeight="1">
      <c r="F442" s="332"/>
      <c r="G442" s="312"/>
      <c r="H442" s="312"/>
      <c r="I442" s="312"/>
      <c r="J442" s="312"/>
      <c r="K442" s="312"/>
      <c r="L442" s="312"/>
      <c r="M442" s="312"/>
      <c r="N442" s="312"/>
      <c r="O442" s="312"/>
      <c r="P442" s="554" t="s">
        <v>70</v>
      </c>
      <c r="Q442" s="292"/>
      <c r="R442" s="170"/>
      <c r="S442" s="389"/>
      <c r="T442" s="557" t="s">
        <v>2278</v>
      </c>
      <c r="U442" s="501" t="s">
        <v>1305</v>
      </c>
      <c r="AA442" s="26"/>
      <c r="AB442" s="26"/>
      <c r="AC442" s="931"/>
      <c r="AD442" s="512"/>
    </row>
    <row r="443" spans="6:30" ht="10.5" customHeight="1">
      <c r="F443" s="332"/>
      <c r="G443" s="312"/>
      <c r="H443" s="312"/>
      <c r="I443" s="312"/>
      <c r="J443" s="312"/>
      <c r="K443" s="312"/>
      <c r="L443" s="312"/>
      <c r="M443" s="312"/>
      <c r="N443" s="312"/>
      <c r="O443" s="312"/>
      <c r="P443" s="554" t="s">
        <v>364</v>
      </c>
      <c r="Q443" s="292"/>
      <c r="R443" s="170"/>
      <c r="S443" s="389"/>
      <c r="T443" s="501" t="s">
        <v>505</v>
      </c>
      <c r="U443" s="501" t="s">
        <v>177</v>
      </c>
      <c r="AA443" s="26"/>
      <c r="AB443" s="26"/>
      <c r="AC443" s="933"/>
      <c r="AD443" s="512"/>
    </row>
    <row r="444" spans="6:30" ht="10.5" customHeight="1">
      <c r="F444" s="332"/>
      <c r="G444" s="312"/>
      <c r="H444" s="312"/>
      <c r="I444" s="312"/>
      <c r="J444" s="312"/>
      <c r="K444" s="312"/>
      <c r="L444" s="312"/>
      <c r="M444" s="312"/>
      <c r="N444" s="312"/>
      <c r="O444" s="312"/>
      <c r="P444" s="554" t="s">
        <v>2221</v>
      </c>
      <c r="Q444" s="292"/>
      <c r="R444" s="170"/>
      <c r="S444" s="389"/>
      <c r="T444" s="501" t="s">
        <v>1037</v>
      </c>
      <c r="U444" s="501" t="s">
        <v>1502</v>
      </c>
      <c r="AA444" s="26"/>
      <c r="AB444" s="26"/>
      <c r="AC444" s="931"/>
      <c r="AD444" s="512"/>
    </row>
    <row r="445" spans="6:30" ht="10.5" customHeight="1">
      <c r="F445" s="332"/>
      <c r="G445" s="312"/>
      <c r="H445" s="312"/>
      <c r="I445" s="312"/>
      <c r="J445" s="312"/>
      <c r="K445" s="312"/>
      <c r="L445" s="312"/>
      <c r="M445" s="312"/>
      <c r="N445" s="312"/>
      <c r="O445" s="312"/>
      <c r="P445" s="554" t="s">
        <v>1794</v>
      </c>
      <c r="Q445" s="292"/>
      <c r="R445" s="170"/>
      <c r="S445" s="389"/>
      <c r="T445" s="501" t="s">
        <v>185</v>
      </c>
      <c r="U445" s="501" t="s">
        <v>2143</v>
      </c>
      <c r="AA445" s="26"/>
      <c r="AB445" s="26"/>
      <c r="AC445" s="931"/>
      <c r="AD445" s="512"/>
    </row>
    <row r="446" spans="6:30" ht="10.5" customHeight="1">
      <c r="F446" s="332"/>
      <c r="G446" s="312"/>
      <c r="H446" s="312"/>
      <c r="I446" s="312"/>
      <c r="J446" s="312"/>
      <c r="K446" s="312"/>
      <c r="L446" s="312"/>
      <c r="M446" s="312"/>
      <c r="N446" s="312"/>
      <c r="O446" s="312"/>
      <c r="P446" s="554" t="s">
        <v>1733</v>
      </c>
      <c r="Q446" s="292"/>
      <c r="R446" s="170"/>
      <c r="S446" s="389"/>
      <c r="T446" s="501" t="s">
        <v>1038</v>
      </c>
      <c r="U446" s="501" t="s">
        <v>2451</v>
      </c>
      <c r="AA446" s="26"/>
      <c r="AB446" s="26"/>
      <c r="AC446" s="931"/>
      <c r="AD446" s="512"/>
    </row>
    <row r="447" spans="6:30" ht="10.5" customHeight="1">
      <c r="F447" s="332"/>
      <c r="G447" s="312"/>
      <c r="H447" s="312"/>
      <c r="I447" s="312"/>
      <c r="J447" s="312"/>
      <c r="K447" s="312"/>
      <c r="L447" s="312"/>
      <c r="M447" s="312"/>
      <c r="N447" s="312"/>
      <c r="O447" s="312"/>
      <c r="P447" s="554" t="s">
        <v>271</v>
      </c>
      <c r="Q447" s="292"/>
      <c r="R447" s="170"/>
      <c r="S447" s="389"/>
      <c r="T447" s="555" t="s">
        <v>1948</v>
      </c>
      <c r="U447" s="555" t="s">
        <v>2368</v>
      </c>
      <c r="AA447" s="26"/>
      <c r="AB447" s="26"/>
      <c r="AC447" s="931"/>
      <c r="AD447" s="512"/>
    </row>
    <row r="448" spans="6:30" ht="10.5" customHeight="1">
      <c r="F448" s="332"/>
      <c r="G448" s="312"/>
      <c r="H448" s="312"/>
      <c r="I448" s="312"/>
      <c r="J448" s="312"/>
      <c r="K448" s="312"/>
      <c r="L448" s="312"/>
      <c r="M448" s="312"/>
      <c r="N448" s="312"/>
      <c r="O448" s="312"/>
      <c r="P448" s="554" t="s">
        <v>2325</v>
      </c>
      <c r="Q448" s="292"/>
      <c r="R448" s="170"/>
      <c r="S448" s="389"/>
      <c r="T448" s="501" t="s">
        <v>1039</v>
      </c>
      <c r="U448" s="501" t="s">
        <v>157</v>
      </c>
      <c r="AA448" s="26"/>
      <c r="AB448" s="26"/>
      <c r="AC448" s="932"/>
      <c r="AD448" s="512"/>
    </row>
    <row r="449" spans="6:30" ht="10.5" customHeight="1">
      <c r="F449" s="332"/>
      <c r="G449" s="312"/>
      <c r="H449" s="312"/>
      <c r="I449" s="312"/>
      <c r="J449" s="312"/>
      <c r="K449" s="312"/>
      <c r="L449" s="312"/>
      <c r="M449" s="312"/>
      <c r="N449" s="312"/>
      <c r="O449" s="312"/>
      <c r="P449" s="554" t="s">
        <v>465</v>
      </c>
      <c r="Q449" s="292"/>
      <c r="R449" s="170"/>
      <c r="S449" s="389"/>
      <c r="T449" s="501" t="s">
        <v>1950</v>
      </c>
      <c r="U449" s="501" t="s">
        <v>2368</v>
      </c>
      <c r="AA449" s="26"/>
      <c r="AB449" s="26"/>
      <c r="AC449" s="931"/>
      <c r="AD449" s="512"/>
    </row>
    <row r="450" spans="6:30" ht="10.5" customHeight="1">
      <c r="F450" s="332"/>
      <c r="G450" s="312"/>
      <c r="H450" s="312"/>
      <c r="I450" s="312"/>
      <c r="J450" s="312"/>
      <c r="K450" s="312"/>
      <c r="L450" s="312"/>
      <c r="M450" s="312"/>
      <c r="N450" s="312"/>
      <c r="O450" s="312"/>
      <c r="P450" s="554" t="s">
        <v>466</v>
      </c>
      <c r="Q450" s="292"/>
      <c r="R450" s="170"/>
      <c r="S450" s="389"/>
      <c r="T450" s="501" t="s">
        <v>320</v>
      </c>
      <c r="U450" s="501" t="s">
        <v>1316</v>
      </c>
      <c r="AA450" s="26"/>
      <c r="AB450" s="26"/>
      <c r="AC450" s="931"/>
      <c r="AD450" s="512"/>
    </row>
    <row r="451" spans="6:30" ht="10.5" customHeight="1">
      <c r="F451" s="332"/>
      <c r="G451" s="312"/>
      <c r="H451" s="312"/>
      <c r="I451" s="312"/>
      <c r="J451" s="312"/>
      <c r="K451" s="312"/>
      <c r="L451" s="312"/>
      <c r="M451" s="312"/>
      <c r="N451" s="312"/>
      <c r="O451" s="312"/>
      <c r="P451" s="554" t="s">
        <v>468</v>
      </c>
      <c r="Q451" s="292"/>
      <c r="R451" s="170"/>
      <c r="S451" s="389"/>
      <c r="T451" s="501" t="s">
        <v>1133</v>
      </c>
      <c r="U451" s="501" t="s">
        <v>858</v>
      </c>
      <c r="AA451" s="26"/>
      <c r="AB451" s="26"/>
      <c r="AC451" s="931"/>
      <c r="AD451" s="512"/>
    </row>
    <row r="452" spans="6:30" ht="10.5" customHeight="1">
      <c r="F452" s="332"/>
      <c r="G452" s="312"/>
      <c r="H452" s="312"/>
      <c r="I452" s="312"/>
      <c r="J452" s="312"/>
      <c r="K452" s="312"/>
      <c r="L452" s="312"/>
      <c r="M452" s="312"/>
      <c r="N452" s="312"/>
      <c r="O452" s="312"/>
      <c r="P452" s="554" t="s">
        <v>470</v>
      </c>
      <c r="Q452" s="292"/>
      <c r="R452" s="170"/>
      <c r="S452" s="389"/>
      <c r="T452" s="501" t="s">
        <v>1099</v>
      </c>
      <c r="U452" s="501" t="s">
        <v>861</v>
      </c>
      <c r="AA452" s="26"/>
      <c r="AB452" s="26"/>
      <c r="AC452" s="931"/>
      <c r="AD452" s="512"/>
    </row>
    <row r="453" spans="6:30" ht="10.5" customHeight="1">
      <c r="F453" s="332"/>
      <c r="G453" s="312"/>
      <c r="H453" s="312"/>
      <c r="I453" s="312"/>
      <c r="J453" s="312"/>
      <c r="K453" s="312"/>
      <c r="L453" s="312"/>
      <c r="M453" s="312"/>
      <c r="N453" s="312"/>
      <c r="O453" s="312"/>
      <c r="P453" s="554" t="s">
        <v>1225</v>
      </c>
      <c r="Q453" s="292"/>
      <c r="R453" s="170"/>
      <c r="S453" s="389"/>
      <c r="T453" s="501" t="s">
        <v>322</v>
      </c>
      <c r="U453" s="501" t="s">
        <v>1080</v>
      </c>
      <c r="AA453" s="26"/>
      <c r="AB453" s="26"/>
      <c r="AC453" s="931"/>
      <c r="AD453" s="512"/>
    </row>
    <row r="454" spans="6:30" ht="10.5" customHeight="1">
      <c r="F454" s="332"/>
      <c r="G454" s="312"/>
      <c r="H454" s="312"/>
      <c r="I454" s="312"/>
      <c r="J454" s="312"/>
      <c r="K454" s="312"/>
      <c r="L454" s="312"/>
      <c r="M454" s="312"/>
      <c r="N454" s="312"/>
      <c r="O454" s="312"/>
      <c r="P454" s="554" t="s">
        <v>1227</v>
      </c>
      <c r="Q454" s="292"/>
      <c r="R454" s="170"/>
      <c r="S454" s="389"/>
      <c r="T454" s="501" t="s">
        <v>325</v>
      </c>
      <c r="U454" s="501" t="s">
        <v>320</v>
      </c>
      <c r="AA454" s="26"/>
      <c r="AB454" s="26"/>
      <c r="AC454" s="931"/>
      <c r="AD454" s="512"/>
    </row>
    <row r="455" spans="6:30" ht="10.5" customHeight="1">
      <c r="F455" s="332"/>
      <c r="G455" s="312"/>
      <c r="H455" s="312"/>
      <c r="I455" s="312"/>
      <c r="J455" s="312"/>
      <c r="K455" s="312"/>
      <c r="L455" s="312"/>
      <c r="M455" s="312"/>
      <c r="N455" s="312"/>
      <c r="O455" s="312"/>
      <c r="P455" s="554" t="s">
        <v>1967</v>
      </c>
      <c r="Q455" s="292"/>
      <c r="R455" s="170"/>
      <c r="S455" s="389"/>
      <c r="T455" s="501" t="s">
        <v>71</v>
      </c>
      <c r="U455" s="501" t="s">
        <v>1893</v>
      </c>
      <c r="AA455" s="26"/>
      <c r="AB455" s="26"/>
      <c r="AC455" s="931"/>
      <c r="AD455" s="512"/>
    </row>
    <row r="456" spans="6:30" ht="10.5" customHeight="1">
      <c r="F456" s="332"/>
      <c r="G456" s="312"/>
      <c r="H456" s="312"/>
      <c r="I456" s="312"/>
      <c r="J456" s="312"/>
      <c r="K456" s="312"/>
      <c r="L456" s="312"/>
      <c r="M456" s="312"/>
      <c r="N456" s="312"/>
      <c r="O456" s="312"/>
      <c r="P456" s="554" t="s">
        <v>1968</v>
      </c>
      <c r="Q456" s="292"/>
      <c r="R456" s="170"/>
      <c r="S456" s="389"/>
      <c r="T456" s="555" t="s">
        <v>2222</v>
      </c>
      <c r="U456" s="555" t="s">
        <v>1316</v>
      </c>
      <c r="AA456" s="26"/>
      <c r="AB456" s="26"/>
      <c r="AC456" s="931"/>
      <c r="AD456" s="512"/>
    </row>
    <row r="457" spans="6:30" ht="10.5" customHeight="1">
      <c r="F457" s="332"/>
      <c r="G457" s="312"/>
      <c r="H457" s="312"/>
      <c r="I457" s="312"/>
      <c r="J457" s="312"/>
      <c r="K457" s="312"/>
      <c r="L457" s="312"/>
      <c r="M457" s="312"/>
      <c r="N457" s="312"/>
      <c r="O457" s="312"/>
      <c r="P457" s="554" t="s">
        <v>73</v>
      </c>
      <c r="Q457" s="292"/>
      <c r="R457" s="170"/>
      <c r="S457" s="389"/>
      <c r="T457" s="555" t="s">
        <v>1732</v>
      </c>
      <c r="U457" s="555" t="s">
        <v>1982</v>
      </c>
      <c r="AA457" s="26"/>
      <c r="AB457" s="26"/>
      <c r="AC457" s="932"/>
      <c r="AD457" s="512"/>
    </row>
    <row r="458" spans="6:30" ht="10.5" customHeight="1">
      <c r="F458" s="332"/>
      <c r="G458" s="312"/>
      <c r="H458" s="312"/>
      <c r="I458" s="312"/>
      <c r="J458" s="312"/>
      <c r="K458" s="312"/>
      <c r="L458" s="312"/>
      <c r="M458" s="312"/>
      <c r="N458" s="312"/>
      <c r="O458" s="312"/>
      <c r="P458" s="554" t="s">
        <v>75</v>
      </c>
      <c r="Q458" s="292"/>
      <c r="R458" s="170"/>
      <c r="S458" s="389"/>
      <c r="T458" s="501" t="s">
        <v>1734</v>
      </c>
      <c r="U458" s="501" t="s">
        <v>106</v>
      </c>
      <c r="AA458" s="26"/>
      <c r="AB458" s="26"/>
      <c r="AC458" s="932"/>
      <c r="AD458" s="512"/>
    </row>
    <row r="459" spans="6:30" ht="10.5" customHeight="1">
      <c r="F459" s="332"/>
      <c r="G459" s="312"/>
      <c r="H459" s="312"/>
      <c r="I459" s="312"/>
      <c r="J459" s="312"/>
      <c r="K459" s="312"/>
      <c r="L459" s="312"/>
      <c r="M459" s="312"/>
      <c r="N459" s="312"/>
      <c r="O459" s="312"/>
      <c r="P459" s="554" t="s">
        <v>2381</v>
      </c>
      <c r="Q459" s="292"/>
      <c r="R459" s="170"/>
      <c r="S459" s="389"/>
      <c r="T459" s="501" t="s">
        <v>680</v>
      </c>
      <c r="U459" s="501" t="s">
        <v>1191</v>
      </c>
      <c r="AA459" s="26"/>
      <c r="AB459" s="26"/>
      <c r="AC459" s="931"/>
      <c r="AD459" s="512"/>
    </row>
    <row r="460" spans="6:30" ht="10.5" customHeight="1">
      <c r="F460" s="332"/>
      <c r="G460" s="312"/>
      <c r="H460" s="312"/>
      <c r="I460" s="312"/>
      <c r="J460" s="312"/>
      <c r="K460" s="312"/>
      <c r="L460" s="312"/>
      <c r="M460" s="312"/>
      <c r="N460" s="312"/>
      <c r="O460" s="312"/>
      <c r="P460" s="554" t="s">
        <v>2172</v>
      </c>
      <c r="Q460" s="292"/>
      <c r="R460" s="170"/>
      <c r="S460" s="389"/>
      <c r="T460" s="501" t="s">
        <v>2324</v>
      </c>
      <c r="U460" s="501" t="s">
        <v>2451</v>
      </c>
      <c r="AA460" s="26"/>
      <c r="AB460" s="26"/>
      <c r="AC460" s="931"/>
      <c r="AD460" s="512"/>
    </row>
    <row r="461" spans="6:30" ht="10.5" customHeight="1">
      <c r="F461" s="332"/>
      <c r="G461" s="312"/>
      <c r="H461" s="312"/>
      <c r="I461" s="312"/>
      <c r="J461" s="312"/>
      <c r="K461" s="312"/>
      <c r="L461" s="312"/>
      <c r="M461" s="312"/>
      <c r="N461" s="312"/>
      <c r="O461" s="312"/>
      <c r="P461" s="554" t="s">
        <v>2173</v>
      </c>
      <c r="Q461" s="292"/>
      <c r="R461" s="170"/>
      <c r="S461" s="389"/>
      <c r="T461" s="501" t="s">
        <v>2326</v>
      </c>
      <c r="U461" s="501" t="s">
        <v>2152</v>
      </c>
      <c r="AA461" s="26"/>
      <c r="AB461" s="26"/>
      <c r="AC461" s="931"/>
      <c r="AD461" s="512"/>
    </row>
    <row r="462" spans="6:30" ht="10.5" customHeight="1">
      <c r="F462" s="332"/>
      <c r="G462" s="312"/>
      <c r="H462" s="312"/>
      <c r="I462" s="312"/>
      <c r="J462" s="312"/>
      <c r="K462" s="312"/>
      <c r="L462" s="312"/>
      <c r="M462" s="312"/>
      <c r="N462" s="312"/>
      <c r="O462" s="312"/>
      <c r="P462" s="554" t="s">
        <v>953</v>
      </c>
      <c r="Q462" s="292"/>
      <c r="R462" s="170"/>
      <c r="S462" s="389"/>
      <c r="T462" s="501" t="s">
        <v>467</v>
      </c>
      <c r="U462" s="501" t="s">
        <v>2454</v>
      </c>
      <c r="AA462" s="26"/>
      <c r="AB462" s="26"/>
      <c r="AC462" s="931"/>
      <c r="AD462" s="512"/>
    </row>
    <row r="463" spans="6:30" ht="10.5" customHeight="1">
      <c r="F463" s="332"/>
      <c r="G463" s="312"/>
      <c r="H463" s="312"/>
      <c r="I463" s="312"/>
      <c r="J463" s="312"/>
      <c r="K463" s="312"/>
      <c r="L463" s="312"/>
      <c r="M463" s="312"/>
      <c r="N463" s="312"/>
      <c r="O463" s="312"/>
      <c r="P463" s="554" t="s">
        <v>955</v>
      </c>
      <c r="Q463" s="292"/>
      <c r="R463" s="170"/>
      <c r="S463" s="389"/>
      <c r="T463" s="501" t="s">
        <v>469</v>
      </c>
      <c r="U463" s="501" t="s">
        <v>1314</v>
      </c>
      <c r="AA463" s="26"/>
      <c r="AB463" s="26"/>
      <c r="AC463" s="931"/>
      <c r="AD463" s="512"/>
    </row>
    <row r="464" spans="6:30" ht="10.5" customHeight="1">
      <c r="F464" s="332"/>
      <c r="G464" s="312"/>
      <c r="H464" s="312"/>
      <c r="I464" s="312"/>
      <c r="J464" s="312"/>
      <c r="K464" s="312"/>
      <c r="L464" s="312"/>
      <c r="M464" s="312"/>
      <c r="N464" s="312"/>
      <c r="O464" s="312"/>
      <c r="P464" s="554" t="s">
        <v>1472</v>
      </c>
      <c r="Q464" s="292"/>
      <c r="R464" s="170"/>
      <c r="S464" s="389"/>
      <c r="T464" s="501" t="s">
        <v>1040</v>
      </c>
      <c r="U464" s="501" t="s">
        <v>1319</v>
      </c>
      <c r="AA464" s="26"/>
      <c r="AB464" s="26"/>
      <c r="AC464" s="931"/>
      <c r="AD464" s="512"/>
    </row>
    <row r="465" spans="6:30" ht="10.5" customHeight="1">
      <c r="F465" s="332"/>
      <c r="G465" s="312"/>
      <c r="H465" s="312"/>
      <c r="I465" s="312"/>
      <c r="J465" s="312"/>
      <c r="K465" s="312"/>
      <c r="L465" s="312"/>
      <c r="M465" s="312"/>
      <c r="N465" s="312"/>
      <c r="O465" s="312"/>
      <c r="P465" s="554" t="s">
        <v>1473</v>
      </c>
      <c r="Q465" s="292"/>
      <c r="R465" s="170"/>
      <c r="S465" s="389"/>
      <c r="T465" s="501" t="s">
        <v>471</v>
      </c>
      <c r="U465" s="501" t="s">
        <v>1319</v>
      </c>
      <c r="AA465" s="26"/>
      <c r="AB465" s="26"/>
      <c r="AC465" s="931"/>
      <c r="AD465" s="512"/>
    </row>
    <row r="466" spans="6:30" ht="10.5" customHeight="1">
      <c r="F466" s="332"/>
      <c r="G466" s="312"/>
      <c r="H466" s="312"/>
      <c r="I466" s="312"/>
      <c r="J466" s="312"/>
      <c r="K466" s="312"/>
      <c r="L466" s="312"/>
      <c r="M466" s="312"/>
      <c r="N466" s="312"/>
      <c r="O466" s="312"/>
      <c r="P466" s="554" t="s">
        <v>1475</v>
      </c>
      <c r="Q466" s="292"/>
      <c r="R466" s="170"/>
      <c r="S466" s="389"/>
      <c r="T466" s="501" t="s">
        <v>1226</v>
      </c>
      <c r="U466" s="501" t="s">
        <v>1299</v>
      </c>
      <c r="AA466" s="26"/>
      <c r="AB466" s="26"/>
      <c r="AC466" s="931"/>
      <c r="AD466" s="512"/>
    </row>
    <row r="467" spans="6:30" ht="10.5" customHeight="1">
      <c r="F467" s="332"/>
      <c r="G467" s="312"/>
      <c r="H467" s="312"/>
      <c r="I467" s="312"/>
      <c r="J467" s="312"/>
      <c r="K467" s="312"/>
      <c r="L467" s="312"/>
      <c r="M467" s="312"/>
      <c r="N467" s="312"/>
      <c r="O467" s="312"/>
      <c r="P467" s="554" t="s">
        <v>1477</v>
      </c>
      <c r="Q467" s="292"/>
      <c r="R467" s="170"/>
      <c r="S467" s="389"/>
      <c r="T467" s="555" t="s">
        <v>1228</v>
      </c>
      <c r="U467" s="555" t="s">
        <v>329</v>
      </c>
      <c r="AA467" s="26"/>
      <c r="AB467" s="26"/>
      <c r="AC467" s="931"/>
      <c r="AD467" s="512"/>
    </row>
    <row r="468" spans="6:30" ht="10.5" customHeight="1">
      <c r="F468" s="332"/>
      <c r="G468" s="312"/>
      <c r="H468" s="312"/>
      <c r="I468" s="312"/>
      <c r="J468" s="312"/>
      <c r="K468" s="312"/>
      <c r="L468" s="312"/>
      <c r="M468" s="312"/>
      <c r="N468" s="312"/>
      <c r="O468" s="312"/>
      <c r="P468" s="554" t="s">
        <v>1479</v>
      </c>
      <c r="Q468" s="292"/>
      <c r="R468" s="170"/>
      <c r="S468" s="389"/>
      <c r="T468" s="501" t="s">
        <v>2809</v>
      </c>
      <c r="U468" s="501" t="s">
        <v>2499</v>
      </c>
      <c r="AA468" s="26"/>
      <c r="AB468" s="26"/>
      <c r="AC468" s="932"/>
      <c r="AD468" s="512"/>
    </row>
    <row r="469" spans="6:30" ht="10.5" customHeight="1">
      <c r="F469" s="332"/>
      <c r="G469" s="312"/>
      <c r="H469" s="312"/>
      <c r="I469" s="312"/>
      <c r="J469" s="312"/>
      <c r="K469" s="312"/>
      <c r="L469" s="312"/>
      <c r="M469" s="312"/>
      <c r="N469" s="312"/>
      <c r="O469" s="312"/>
      <c r="P469" s="554" t="s">
        <v>2309</v>
      </c>
      <c r="Q469" s="292"/>
      <c r="R469" s="170"/>
      <c r="S469" s="389"/>
      <c r="T469" s="501" t="s">
        <v>1969</v>
      </c>
      <c r="U469" s="501" t="s">
        <v>1981</v>
      </c>
      <c r="AA469" s="26"/>
      <c r="AB469" s="26"/>
      <c r="AC469" s="931"/>
      <c r="AD469" s="512"/>
    </row>
    <row r="470" spans="6:30" ht="10.5" customHeight="1">
      <c r="F470" s="332"/>
      <c r="G470" s="312"/>
      <c r="H470" s="312"/>
      <c r="I470" s="312"/>
      <c r="J470" s="312"/>
      <c r="K470" s="312"/>
      <c r="L470" s="312"/>
      <c r="M470" s="312"/>
      <c r="N470" s="312"/>
      <c r="O470" s="312"/>
      <c r="P470" s="554" t="s">
        <v>2562</v>
      </c>
      <c r="Q470" s="292"/>
      <c r="R470" s="170"/>
      <c r="S470" s="389"/>
      <c r="T470" s="501" t="s">
        <v>74</v>
      </c>
      <c r="U470" s="501" t="s">
        <v>1889</v>
      </c>
      <c r="AA470" s="26"/>
      <c r="AB470" s="26"/>
      <c r="AC470" s="931"/>
      <c r="AD470" s="512"/>
    </row>
    <row r="471" spans="6:30" ht="10.5" customHeight="1">
      <c r="F471" s="332"/>
      <c r="G471" s="312"/>
      <c r="H471" s="312"/>
      <c r="I471" s="312"/>
      <c r="J471" s="312"/>
      <c r="K471" s="312"/>
      <c r="L471" s="312"/>
      <c r="M471" s="312"/>
      <c r="N471" s="312"/>
      <c r="O471" s="312"/>
      <c r="P471" s="554" t="s">
        <v>1266</v>
      </c>
      <c r="Q471" s="292"/>
      <c r="R471" s="170"/>
      <c r="S471" s="389"/>
      <c r="T471" s="501" t="s">
        <v>621</v>
      </c>
      <c r="U471" s="501" t="s">
        <v>2451</v>
      </c>
      <c r="AA471" s="26"/>
      <c r="AB471" s="26"/>
      <c r="AC471" s="931"/>
      <c r="AD471" s="512"/>
    </row>
    <row r="472" spans="6:30" ht="10.5" customHeight="1">
      <c r="F472" s="332"/>
      <c r="G472" s="312"/>
      <c r="H472" s="312"/>
      <c r="I472" s="312"/>
      <c r="J472" s="312"/>
      <c r="K472" s="312"/>
      <c r="L472" s="312"/>
      <c r="M472" s="312"/>
      <c r="N472" s="312"/>
      <c r="O472" s="312"/>
      <c r="P472" s="554" t="s">
        <v>1490</v>
      </c>
      <c r="Q472" s="292"/>
      <c r="R472" s="170"/>
      <c r="S472" s="389"/>
      <c r="T472" s="501" t="s">
        <v>76</v>
      </c>
      <c r="U472" s="501" t="s">
        <v>173</v>
      </c>
      <c r="AA472" s="26"/>
      <c r="AB472" s="26"/>
      <c r="AC472" s="931"/>
      <c r="AD472" s="512"/>
    </row>
    <row r="473" spans="6:30" ht="10.5" customHeight="1">
      <c r="F473" s="332"/>
      <c r="G473" s="312"/>
      <c r="H473" s="312"/>
      <c r="I473" s="312"/>
      <c r="J473" s="312"/>
      <c r="K473" s="312"/>
      <c r="L473" s="312"/>
      <c r="M473" s="312"/>
      <c r="N473" s="312"/>
      <c r="O473" s="312"/>
      <c r="P473" s="554" t="s">
        <v>807</v>
      </c>
      <c r="Q473" s="292"/>
      <c r="R473" s="170"/>
      <c r="S473" s="389"/>
      <c r="T473" s="501" t="s">
        <v>2382</v>
      </c>
      <c r="U473" s="501" t="s">
        <v>1436</v>
      </c>
      <c r="AA473" s="26"/>
      <c r="AB473" s="26"/>
      <c r="AC473" s="931"/>
      <c r="AD473" s="512"/>
    </row>
    <row r="474" spans="6:30" ht="10.5" customHeight="1">
      <c r="F474" s="332"/>
      <c r="G474" s="312"/>
      <c r="H474" s="312"/>
      <c r="I474" s="312"/>
      <c r="J474" s="312"/>
      <c r="K474" s="312"/>
      <c r="L474" s="312"/>
      <c r="M474" s="312"/>
      <c r="N474" s="312"/>
      <c r="O474" s="312"/>
      <c r="P474" s="554" t="s">
        <v>808</v>
      </c>
      <c r="Q474" s="292"/>
      <c r="R474" s="170"/>
      <c r="S474" s="389"/>
      <c r="T474" s="501" t="s">
        <v>1041</v>
      </c>
      <c r="U474" s="501" t="s">
        <v>1502</v>
      </c>
      <c r="AA474" s="26"/>
      <c r="AB474" s="26"/>
      <c r="AC474" s="931"/>
      <c r="AD474" s="512"/>
    </row>
    <row r="475" spans="6:30" ht="10.5" customHeight="1">
      <c r="F475" s="332"/>
      <c r="G475" s="312"/>
      <c r="H475" s="312"/>
      <c r="I475" s="312"/>
      <c r="J475" s="312"/>
      <c r="K475" s="312"/>
      <c r="L475" s="312"/>
      <c r="M475" s="312"/>
      <c r="N475" s="312"/>
      <c r="O475" s="312"/>
      <c r="P475" s="554" t="s">
        <v>810</v>
      </c>
      <c r="Q475" s="292"/>
      <c r="R475" s="170"/>
      <c r="S475" s="389"/>
      <c r="T475" s="501" t="s">
        <v>1042</v>
      </c>
      <c r="U475" s="501" t="s">
        <v>1097</v>
      </c>
      <c r="AA475" s="26"/>
      <c r="AB475" s="26"/>
      <c r="AC475" s="931"/>
      <c r="AD475" s="512"/>
    </row>
    <row r="476" spans="6:30" ht="10.5" customHeight="1">
      <c r="F476" s="332"/>
      <c r="G476" s="312"/>
      <c r="H476" s="312"/>
      <c r="I476" s="312"/>
      <c r="J476" s="312"/>
      <c r="K476" s="312"/>
      <c r="L476" s="312"/>
      <c r="M476" s="312"/>
      <c r="N476" s="312"/>
      <c r="O476" s="312"/>
      <c r="P476" s="554" t="s">
        <v>811</v>
      </c>
      <c r="Q476" s="292"/>
      <c r="R476" s="170"/>
      <c r="S476" s="389"/>
      <c r="T476" s="501" t="s">
        <v>603</v>
      </c>
      <c r="U476" s="501" t="s">
        <v>649</v>
      </c>
      <c r="AA476" s="26"/>
      <c r="AB476" s="26"/>
      <c r="AC476" s="931"/>
      <c r="AD476" s="512"/>
    </row>
    <row r="477" spans="6:30" ht="10.5" customHeight="1">
      <c r="F477" s="332"/>
      <c r="G477" s="312"/>
      <c r="H477" s="312"/>
      <c r="I477" s="312"/>
      <c r="J477" s="312"/>
      <c r="K477" s="312"/>
      <c r="L477" s="312"/>
      <c r="M477" s="312"/>
      <c r="N477" s="312"/>
      <c r="O477" s="312"/>
      <c r="P477" s="554" t="s">
        <v>117</v>
      </c>
      <c r="Q477" s="292"/>
      <c r="R477" s="170"/>
      <c r="S477" s="389"/>
      <c r="T477" s="501" t="s">
        <v>954</v>
      </c>
      <c r="U477" s="501" t="s">
        <v>119</v>
      </c>
      <c r="AA477" s="26"/>
      <c r="AB477" s="26"/>
      <c r="AC477" s="931"/>
      <c r="AD477" s="512"/>
    </row>
    <row r="478" spans="6:30" ht="10.5" customHeight="1">
      <c r="F478" s="332"/>
      <c r="G478" s="312"/>
      <c r="H478" s="312"/>
      <c r="I478" s="312"/>
      <c r="J478" s="312"/>
      <c r="K478" s="312"/>
      <c r="L478" s="312"/>
      <c r="M478" s="312"/>
      <c r="N478" s="312"/>
      <c r="O478" s="312"/>
      <c r="P478" s="554" t="s">
        <v>246</v>
      </c>
      <c r="Q478" s="292"/>
      <c r="R478" s="170"/>
      <c r="S478" s="389"/>
      <c r="T478" s="501" t="s">
        <v>956</v>
      </c>
      <c r="U478" s="501" t="s">
        <v>1317</v>
      </c>
      <c r="AA478" s="26"/>
      <c r="AB478" s="26"/>
      <c r="AC478" s="931"/>
      <c r="AD478" s="512"/>
    </row>
    <row r="479" spans="6:30" ht="10.5" customHeight="1">
      <c r="F479" s="332"/>
      <c r="G479" s="312"/>
      <c r="H479" s="312"/>
      <c r="I479" s="312"/>
      <c r="J479" s="312"/>
      <c r="K479" s="312"/>
      <c r="L479" s="312"/>
      <c r="M479" s="312"/>
      <c r="N479" s="312"/>
      <c r="O479" s="312"/>
      <c r="P479" s="554" t="s">
        <v>1487</v>
      </c>
      <c r="Q479" s="292"/>
      <c r="R479" s="170"/>
      <c r="S479" s="389"/>
      <c r="T479" s="501" t="s">
        <v>1474</v>
      </c>
      <c r="U479" s="501" t="s">
        <v>1439</v>
      </c>
      <c r="AA479" s="26"/>
      <c r="AB479" s="26"/>
      <c r="AC479" s="931"/>
      <c r="AD479" s="512"/>
    </row>
    <row r="480" spans="6:30" ht="10.5" customHeight="1">
      <c r="F480" s="332"/>
      <c r="G480" s="312"/>
      <c r="H480" s="312"/>
      <c r="I480" s="312"/>
      <c r="J480" s="312"/>
      <c r="K480" s="312"/>
      <c r="L480" s="312"/>
      <c r="M480" s="312"/>
      <c r="N480" s="312"/>
      <c r="O480" s="312"/>
      <c r="P480" s="554" t="s">
        <v>241</v>
      </c>
      <c r="Q480" s="292"/>
      <c r="R480" s="170"/>
      <c r="S480" s="389"/>
      <c r="T480" s="501" t="s">
        <v>1476</v>
      </c>
      <c r="U480" s="501" t="s">
        <v>2496</v>
      </c>
      <c r="AA480" s="26"/>
      <c r="AB480" s="26"/>
      <c r="AC480" s="931"/>
      <c r="AD480" s="512"/>
    </row>
    <row r="481" spans="6:30" ht="10.5" customHeight="1">
      <c r="F481" s="332"/>
      <c r="G481" s="312"/>
      <c r="H481" s="312"/>
      <c r="I481" s="312"/>
      <c r="J481" s="312"/>
      <c r="K481" s="312"/>
      <c r="L481" s="312"/>
      <c r="M481" s="312"/>
      <c r="N481" s="312"/>
      <c r="O481" s="312"/>
      <c r="P481" s="554" t="s">
        <v>1492</v>
      </c>
      <c r="Q481" s="292"/>
      <c r="R481" s="170"/>
      <c r="S481" s="389"/>
      <c r="T481" s="501" t="s">
        <v>1478</v>
      </c>
      <c r="U481" s="501" t="s">
        <v>2150</v>
      </c>
      <c r="AA481" s="26"/>
      <c r="AB481" s="26"/>
      <c r="AC481" s="931"/>
      <c r="AD481" s="512"/>
    </row>
    <row r="482" spans="6:30" ht="10.5" customHeight="1">
      <c r="F482" s="332"/>
      <c r="G482" s="312"/>
      <c r="H482" s="312"/>
      <c r="I482" s="312"/>
      <c r="J482" s="312"/>
      <c r="K482" s="312"/>
      <c r="L482" s="312"/>
      <c r="M482" s="312"/>
      <c r="N482" s="312"/>
      <c r="O482" s="312"/>
      <c r="P482" s="554" t="s">
        <v>1494</v>
      </c>
      <c r="Q482" s="292"/>
      <c r="R482" s="170"/>
      <c r="S482" s="389"/>
      <c r="T482" s="501" t="s">
        <v>2308</v>
      </c>
      <c r="U482" s="501" t="s">
        <v>2557</v>
      </c>
      <c r="AA482" s="26"/>
      <c r="AB482" s="26"/>
      <c r="AC482" s="931"/>
      <c r="AD482" s="512"/>
    </row>
    <row r="483" spans="6:30" ht="10.5" customHeight="1">
      <c r="F483" s="332"/>
      <c r="G483" s="312"/>
      <c r="H483" s="312"/>
      <c r="I483" s="312"/>
      <c r="J483" s="312"/>
      <c r="K483" s="312"/>
      <c r="L483" s="312"/>
      <c r="M483" s="312"/>
      <c r="N483" s="312"/>
      <c r="O483" s="312"/>
      <c r="P483" s="554" t="s">
        <v>1377</v>
      </c>
      <c r="Q483" s="292"/>
      <c r="R483" s="170"/>
      <c r="S483" s="389"/>
      <c r="T483" s="501" t="s">
        <v>2310</v>
      </c>
      <c r="U483" s="501" t="s">
        <v>119</v>
      </c>
      <c r="AA483" s="26"/>
      <c r="AB483" s="26"/>
      <c r="AC483" s="931"/>
      <c r="AD483" s="512"/>
    </row>
    <row r="484" spans="6:30" ht="10.5" customHeight="1">
      <c r="F484" s="332"/>
      <c r="G484" s="312"/>
      <c r="H484" s="312"/>
      <c r="I484" s="312"/>
      <c r="J484" s="312"/>
      <c r="K484" s="312"/>
      <c r="L484" s="312"/>
      <c r="M484" s="312"/>
      <c r="N484" s="312"/>
      <c r="O484" s="312"/>
      <c r="P484" s="554" t="s">
        <v>1379</v>
      </c>
      <c r="Q484" s="292"/>
      <c r="R484" s="170"/>
      <c r="S484" s="389"/>
      <c r="T484" s="501" t="s">
        <v>1265</v>
      </c>
      <c r="U484" s="501" t="s">
        <v>940</v>
      </c>
      <c r="AA484" s="26"/>
      <c r="AB484" s="26"/>
      <c r="AC484" s="931"/>
      <c r="AD484" s="512"/>
    </row>
    <row r="485" spans="6:30" ht="10.5" customHeight="1">
      <c r="F485" s="332"/>
      <c r="G485" s="312"/>
      <c r="H485" s="312"/>
      <c r="I485" s="312"/>
      <c r="J485" s="312"/>
      <c r="K485" s="312"/>
      <c r="L485" s="312"/>
      <c r="M485" s="312"/>
      <c r="N485" s="312"/>
      <c r="O485" s="312"/>
      <c r="P485" s="554" t="s">
        <v>1381</v>
      </c>
      <c r="Q485" s="292"/>
      <c r="R485" s="170"/>
      <c r="S485" s="389"/>
      <c r="T485" s="555" t="s">
        <v>1043</v>
      </c>
      <c r="U485" s="555" t="s">
        <v>1979</v>
      </c>
      <c r="AA485" s="26"/>
      <c r="AB485" s="26"/>
      <c r="AC485" s="931"/>
      <c r="AD485" s="512"/>
    </row>
    <row r="486" spans="6:30" ht="10.5" customHeight="1">
      <c r="F486" s="332"/>
      <c r="G486" s="312"/>
      <c r="H486" s="312"/>
      <c r="I486" s="312"/>
      <c r="J486" s="312"/>
      <c r="K486" s="312"/>
      <c r="L486" s="312"/>
      <c r="M486" s="312"/>
      <c r="N486" s="312"/>
      <c r="O486" s="312"/>
      <c r="P486" s="554" t="s">
        <v>1382</v>
      </c>
      <c r="Q486" s="292"/>
      <c r="R486" s="170"/>
      <c r="S486" s="389"/>
      <c r="T486" s="501" t="s">
        <v>1267</v>
      </c>
      <c r="U486" s="501" t="s">
        <v>1441</v>
      </c>
      <c r="AA486" s="26"/>
      <c r="AB486" s="26"/>
      <c r="AC486" s="932"/>
      <c r="AD486" s="512"/>
    </row>
    <row r="487" spans="6:30" ht="10.5" customHeight="1">
      <c r="F487" s="332"/>
      <c r="G487" s="312"/>
      <c r="H487" s="312"/>
      <c r="I487" s="312"/>
      <c r="J487" s="312"/>
      <c r="K487" s="312"/>
      <c r="L487" s="312"/>
      <c r="M487" s="312"/>
      <c r="N487" s="312"/>
      <c r="O487" s="312"/>
      <c r="P487" s="554" t="s">
        <v>1384</v>
      </c>
      <c r="Q487" s="292"/>
      <c r="R487" s="170"/>
      <c r="S487" s="389"/>
      <c r="T487" s="501" t="s">
        <v>815</v>
      </c>
      <c r="U487" s="501" t="s">
        <v>1981</v>
      </c>
      <c r="AA487" s="26"/>
      <c r="AB487" s="26"/>
      <c r="AC487" s="931"/>
      <c r="AD487" s="512"/>
    </row>
    <row r="488" spans="6:30" ht="10.5" customHeight="1">
      <c r="F488" s="332"/>
      <c r="G488" s="312"/>
      <c r="H488" s="312"/>
      <c r="I488" s="312"/>
      <c r="J488" s="312"/>
      <c r="K488" s="312"/>
      <c r="L488" s="312"/>
      <c r="M488" s="312"/>
      <c r="N488" s="312"/>
      <c r="O488" s="312"/>
      <c r="P488" s="554" t="s">
        <v>1386</v>
      </c>
      <c r="Q488" s="292"/>
      <c r="R488" s="170"/>
      <c r="S488" s="389"/>
      <c r="T488" s="501" t="s">
        <v>816</v>
      </c>
      <c r="U488" s="501" t="s">
        <v>860</v>
      </c>
      <c r="AA488" s="26"/>
      <c r="AB488" s="26"/>
      <c r="AC488" s="931"/>
      <c r="AD488" s="512"/>
    </row>
    <row r="489" spans="6:30" ht="10.5" customHeight="1">
      <c r="F489" s="332"/>
      <c r="G489" s="312"/>
      <c r="H489" s="312"/>
      <c r="I489" s="312"/>
      <c r="J489" s="312"/>
      <c r="K489" s="312"/>
      <c r="L489" s="312"/>
      <c r="M489" s="312"/>
      <c r="N489" s="312"/>
      <c r="O489" s="312"/>
      <c r="P489" s="554" t="s">
        <v>1550</v>
      </c>
      <c r="Q489" s="292"/>
      <c r="R489" s="170"/>
      <c r="S489" s="389"/>
      <c r="T489" s="501" t="s">
        <v>809</v>
      </c>
      <c r="U489" s="501" t="s">
        <v>617</v>
      </c>
      <c r="AA489" s="26"/>
      <c r="AB489" s="26"/>
      <c r="AC489" s="931"/>
      <c r="AD489" s="512"/>
    </row>
    <row r="490" spans="6:30" ht="10.5" customHeight="1">
      <c r="F490" s="332"/>
      <c r="G490" s="312"/>
      <c r="H490" s="312"/>
      <c r="I490" s="312"/>
      <c r="J490" s="312"/>
      <c r="K490" s="312"/>
      <c r="L490" s="312"/>
      <c r="M490" s="312"/>
      <c r="N490" s="312"/>
      <c r="O490" s="312"/>
      <c r="P490" s="554" t="s">
        <v>1551</v>
      </c>
      <c r="Q490" s="292"/>
      <c r="R490" s="170"/>
      <c r="S490" s="389"/>
      <c r="T490" s="501" t="s">
        <v>812</v>
      </c>
      <c r="U490" s="501" t="s">
        <v>316</v>
      </c>
      <c r="AA490" s="26"/>
      <c r="AB490" s="26"/>
      <c r="AC490" s="931"/>
      <c r="AD490" s="512"/>
    </row>
    <row r="491" spans="6:30" ht="10.5" customHeight="1">
      <c r="F491" s="332"/>
      <c r="G491" s="312"/>
      <c r="H491" s="312"/>
      <c r="I491" s="312"/>
      <c r="J491" s="312"/>
      <c r="K491" s="312"/>
      <c r="L491" s="312"/>
      <c r="M491" s="312"/>
      <c r="N491" s="312"/>
      <c r="O491" s="312"/>
      <c r="P491" s="554" t="s">
        <v>1552</v>
      </c>
      <c r="Q491" s="292"/>
      <c r="R491" s="170"/>
      <c r="S491" s="389"/>
      <c r="T491" s="501" t="s">
        <v>118</v>
      </c>
      <c r="U491" s="501" t="s">
        <v>1982</v>
      </c>
      <c r="AA491" s="26"/>
      <c r="AB491" s="26"/>
      <c r="AC491" s="931"/>
      <c r="AD491" s="512"/>
    </row>
    <row r="492" spans="6:30" ht="10.5" customHeight="1">
      <c r="F492" s="332"/>
      <c r="G492" s="312"/>
      <c r="H492" s="312"/>
      <c r="I492" s="312"/>
      <c r="J492" s="312"/>
      <c r="K492" s="312"/>
      <c r="L492" s="312"/>
      <c r="M492" s="312"/>
      <c r="N492" s="312"/>
      <c r="O492" s="312"/>
      <c r="P492" s="554" t="s">
        <v>1553</v>
      </c>
      <c r="Q492" s="292"/>
      <c r="R492" s="170"/>
      <c r="S492" s="389"/>
      <c r="T492" s="501" t="s">
        <v>247</v>
      </c>
      <c r="U492" s="501" t="s">
        <v>1852</v>
      </c>
      <c r="AA492" s="26"/>
      <c r="AB492" s="26"/>
      <c r="AC492" s="931"/>
      <c r="AD492" s="512"/>
    </row>
    <row r="493" spans="6:30" ht="10.5" customHeight="1">
      <c r="F493" s="332"/>
      <c r="G493" s="312"/>
      <c r="H493" s="312"/>
      <c r="I493" s="312"/>
      <c r="J493" s="312"/>
      <c r="K493" s="312"/>
      <c r="L493" s="312"/>
      <c r="M493" s="312"/>
      <c r="N493" s="312"/>
      <c r="O493" s="312"/>
      <c r="P493" s="554" t="s">
        <v>1555</v>
      </c>
      <c r="Q493" s="292"/>
      <c r="R493" s="170"/>
      <c r="S493" s="389"/>
      <c r="T493" s="501" t="s">
        <v>1488</v>
      </c>
      <c r="U493" s="501" t="s">
        <v>1981</v>
      </c>
      <c r="AA493" s="26"/>
      <c r="AB493" s="26"/>
      <c r="AC493" s="931"/>
      <c r="AD493" s="512"/>
    </row>
    <row r="494" spans="6:30" ht="10.5" customHeight="1">
      <c r="F494" s="332"/>
      <c r="G494" s="312"/>
      <c r="H494" s="312"/>
      <c r="I494" s="312"/>
      <c r="J494" s="312"/>
      <c r="K494" s="312"/>
      <c r="L494" s="312"/>
      <c r="M494" s="312"/>
      <c r="N494" s="312"/>
      <c r="O494" s="312"/>
      <c r="P494" s="554" t="s">
        <v>1557</v>
      </c>
      <c r="Q494" s="292"/>
      <c r="R494" s="170"/>
      <c r="S494" s="389"/>
      <c r="T494" s="555" t="s">
        <v>1491</v>
      </c>
      <c r="U494" s="555" t="s">
        <v>325</v>
      </c>
      <c r="AA494" s="26"/>
      <c r="AB494" s="26"/>
      <c r="AC494" s="931"/>
      <c r="AD494" s="512"/>
    </row>
    <row r="495" spans="6:30" ht="10.5" customHeight="1">
      <c r="F495" s="332"/>
      <c r="G495" s="312"/>
      <c r="H495" s="312"/>
      <c r="I495" s="312"/>
      <c r="J495" s="312"/>
      <c r="K495" s="312"/>
      <c r="L495" s="312"/>
      <c r="M495" s="312"/>
      <c r="N495" s="312"/>
      <c r="O495" s="312"/>
      <c r="P495" s="554" t="s">
        <v>1558</v>
      </c>
      <c r="Q495" s="292"/>
      <c r="R495" s="170"/>
      <c r="S495" s="389"/>
      <c r="T495" s="501" t="s">
        <v>1493</v>
      </c>
      <c r="U495" s="501" t="s">
        <v>2451</v>
      </c>
      <c r="AA495" s="26"/>
      <c r="AB495" s="26"/>
      <c r="AC495" s="932"/>
      <c r="AD495" s="512"/>
    </row>
    <row r="496" spans="6:30" ht="10.5" customHeight="1">
      <c r="F496" s="332"/>
      <c r="G496" s="312"/>
      <c r="H496" s="312"/>
      <c r="I496" s="312"/>
      <c r="J496" s="312"/>
      <c r="K496" s="312"/>
      <c r="L496" s="312"/>
      <c r="M496" s="312"/>
      <c r="N496" s="312"/>
      <c r="O496" s="312"/>
      <c r="P496" s="554" t="s">
        <v>1560</v>
      </c>
      <c r="Q496" s="292"/>
      <c r="R496" s="170"/>
      <c r="S496" s="389"/>
      <c r="T496" s="501" t="s">
        <v>479</v>
      </c>
      <c r="U496" s="501" t="s">
        <v>1443</v>
      </c>
      <c r="AA496" s="26"/>
      <c r="AB496" s="26"/>
      <c r="AC496" s="931"/>
      <c r="AD496" s="512"/>
    </row>
    <row r="497" spans="6:30" ht="10.5" customHeight="1">
      <c r="F497" s="332"/>
      <c r="G497" s="312"/>
      <c r="H497" s="312"/>
      <c r="I497" s="312"/>
      <c r="J497" s="312"/>
      <c r="K497" s="312"/>
      <c r="L497" s="312"/>
      <c r="M497" s="312"/>
      <c r="N497" s="312"/>
      <c r="O497" s="312"/>
      <c r="P497" s="554" t="s">
        <v>375</v>
      </c>
      <c r="Q497" s="292"/>
      <c r="R497" s="170"/>
      <c r="S497" s="389"/>
      <c r="T497" s="501" t="s">
        <v>1378</v>
      </c>
      <c r="U497" s="501" t="s">
        <v>308</v>
      </c>
      <c r="AA497" s="26"/>
      <c r="AB497" s="26"/>
      <c r="AC497" s="931"/>
      <c r="AD497" s="512"/>
    </row>
    <row r="498" spans="6:30" ht="10.5" customHeight="1">
      <c r="F498" s="332"/>
      <c r="G498" s="312"/>
      <c r="H498" s="312"/>
      <c r="I498" s="312"/>
      <c r="J498" s="312"/>
      <c r="K498" s="312"/>
      <c r="L498" s="312"/>
      <c r="M498" s="312"/>
      <c r="N498" s="312"/>
      <c r="O498" s="312"/>
      <c r="P498" s="554" t="s">
        <v>243</v>
      </c>
      <c r="Q498" s="292"/>
      <c r="R498" s="170"/>
      <c r="S498" s="389"/>
      <c r="T498" s="501" t="s">
        <v>1380</v>
      </c>
      <c r="U498" s="501" t="s">
        <v>858</v>
      </c>
      <c r="AA498" s="26"/>
      <c r="AB498" s="26"/>
      <c r="AC498" s="931"/>
      <c r="AD498" s="512"/>
    </row>
    <row r="499" spans="6:30" ht="10.5" customHeight="1">
      <c r="F499" s="332"/>
      <c r="G499" s="312"/>
      <c r="H499" s="312"/>
      <c r="I499" s="312"/>
      <c r="J499" s="312"/>
      <c r="K499" s="312"/>
      <c r="L499" s="312"/>
      <c r="M499" s="312"/>
      <c r="N499" s="312"/>
      <c r="O499" s="312"/>
      <c r="P499" s="554" t="s">
        <v>245</v>
      </c>
      <c r="Q499" s="292"/>
      <c r="R499" s="170"/>
      <c r="S499" s="389"/>
      <c r="T499" s="501" t="s">
        <v>174</v>
      </c>
      <c r="U499" s="501" t="s">
        <v>2148</v>
      </c>
      <c r="AA499" s="26"/>
      <c r="AB499" s="26"/>
      <c r="AC499" s="931"/>
      <c r="AD499" s="512"/>
    </row>
    <row r="500" spans="6:30" ht="10.5" customHeight="1">
      <c r="F500" s="332"/>
      <c r="G500" s="312"/>
      <c r="H500" s="312"/>
      <c r="I500" s="312"/>
      <c r="J500" s="312"/>
      <c r="K500" s="312"/>
      <c r="L500" s="312"/>
      <c r="M500" s="312"/>
      <c r="N500" s="312"/>
      <c r="O500" s="312"/>
      <c r="P500" s="554" t="s">
        <v>12</v>
      </c>
      <c r="Q500" s="292"/>
      <c r="R500" s="170"/>
      <c r="S500" s="389"/>
      <c r="T500" s="501" t="s">
        <v>1383</v>
      </c>
      <c r="U500" s="501" t="s">
        <v>1852</v>
      </c>
      <c r="AA500" s="26"/>
      <c r="AB500" s="26"/>
      <c r="AC500" s="931"/>
      <c r="AD500" s="512"/>
    </row>
    <row r="501" spans="6:30" ht="10.5" customHeight="1">
      <c r="F501" s="332"/>
      <c r="G501" s="312"/>
      <c r="H501" s="312"/>
      <c r="I501" s="312"/>
      <c r="J501" s="312"/>
      <c r="K501" s="312"/>
      <c r="L501" s="312"/>
      <c r="M501" s="312"/>
      <c r="N501" s="312"/>
      <c r="O501" s="312"/>
      <c r="P501" s="554" t="s">
        <v>1072</v>
      </c>
      <c r="Q501" s="292"/>
      <c r="R501" s="170"/>
      <c r="S501" s="389"/>
      <c r="T501" s="501" t="s">
        <v>1385</v>
      </c>
      <c r="U501" s="501" t="s">
        <v>160</v>
      </c>
      <c r="AA501" s="26"/>
      <c r="AB501" s="26"/>
      <c r="AC501" s="931"/>
      <c r="AD501" s="512"/>
    </row>
    <row r="502" spans="6:30" ht="10.5" customHeight="1">
      <c r="F502" s="332"/>
      <c r="G502" s="312"/>
      <c r="H502" s="312"/>
      <c r="I502" s="312"/>
      <c r="J502" s="312"/>
      <c r="K502" s="312"/>
      <c r="L502" s="312"/>
      <c r="M502" s="312"/>
      <c r="N502" s="312"/>
      <c r="O502" s="312"/>
      <c r="P502" s="554" t="s">
        <v>1074</v>
      </c>
      <c r="Q502" s="292"/>
      <c r="R502" s="170"/>
      <c r="S502" s="389"/>
      <c r="T502" s="501" t="s">
        <v>2459</v>
      </c>
      <c r="U502" s="501" t="s">
        <v>1883</v>
      </c>
      <c r="AA502" s="26"/>
      <c r="AB502" s="26"/>
      <c r="AC502" s="931"/>
      <c r="AD502" s="512"/>
    </row>
    <row r="503" spans="6:30" ht="10.5" customHeight="1">
      <c r="F503" s="332"/>
      <c r="G503" s="312"/>
      <c r="H503" s="312"/>
      <c r="I503" s="312"/>
      <c r="J503" s="312"/>
      <c r="K503" s="312"/>
      <c r="L503" s="312"/>
      <c r="M503" s="312"/>
      <c r="N503" s="312"/>
      <c r="O503" s="312"/>
      <c r="P503" s="554" t="s">
        <v>1076</v>
      </c>
      <c r="Q503" s="292"/>
      <c r="R503" s="170"/>
      <c r="S503" s="389"/>
      <c r="T503" s="501" t="s">
        <v>1044</v>
      </c>
      <c r="U503" s="501" t="s">
        <v>2454</v>
      </c>
      <c r="AA503" s="26"/>
      <c r="AB503" s="26"/>
      <c r="AC503" s="931"/>
      <c r="AD503" s="512"/>
    </row>
    <row r="504" spans="6:30" ht="10.5" customHeight="1">
      <c r="F504" s="332"/>
      <c r="G504" s="312"/>
      <c r="H504" s="312"/>
      <c r="I504" s="312"/>
      <c r="J504" s="312"/>
      <c r="K504" s="312"/>
      <c r="L504" s="312"/>
      <c r="M504" s="312"/>
      <c r="N504" s="312"/>
      <c r="O504" s="312"/>
      <c r="P504" s="554" t="s">
        <v>254</v>
      </c>
      <c r="Q504" s="292"/>
      <c r="R504" s="170"/>
      <c r="S504" s="389"/>
      <c r="T504" s="501" t="s">
        <v>1305</v>
      </c>
      <c r="U504" s="501" t="s">
        <v>1304</v>
      </c>
      <c r="AA504" s="26"/>
      <c r="AB504" s="26"/>
      <c r="AC504" s="931"/>
      <c r="AD504" s="512"/>
    </row>
    <row r="505" spans="6:30" ht="10.5" customHeight="1">
      <c r="F505" s="332"/>
      <c r="G505" s="312"/>
      <c r="H505" s="312"/>
      <c r="I505" s="312"/>
      <c r="J505" s="312"/>
      <c r="K505" s="312"/>
      <c r="L505" s="312"/>
      <c r="M505" s="312"/>
      <c r="N505" s="312"/>
      <c r="O505" s="312"/>
      <c r="P505" s="554" t="s">
        <v>256</v>
      </c>
      <c r="Q505" s="292"/>
      <c r="R505" s="170"/>
      <c r="S505" s="389"/>
      <c r="T505" s="501" t="s">
        <v>177</v>
      </c>
      <c r="U505" s="501" t="s">
        <v>2550</v>
      </c>
      <c r="AA505" s="26"/>
      <c r="AB505" s="26"/>
      <c r="AC505" s="931"/>
      <c r="AD505" s="512"/>
    </row>
    <row r="506" spans="6:30" ht="10.5" customHeight="1">
      <c r="F506" s="332"/>
      <c r="G506" s="312"/>
      <c r="H506" s="312"/>
      <c r="I506" s="312"/>
      <c r="J506" s="312"/>
      <c r="K506" s="312"/>
      <c r="L506" s="312"/>
      <c r="M506" s="312"/>
      <c r="N506" s="312"/>
      <c r="O506" s="312"/>
      <c r="P506" s="554" t="s">
        <v>1609</v>
      </c>
      <c r="Q506" s="292"/>
      <c r="R506" s="170"/>
      <c r="S506" s="389"/>
      <c r="T506" s="501" t="s">
        <v>1554</v>
      </c>
      <c r="U506" s="501" t="s">
        <v>2156</v>
      </c>
      <c r="AA506" s="26"/>
      <c r="AB506" s="26"/>
      <c r="AC506" s="931"/>
      <c r="AD506" s="512"/>
    </row>
    <row r="507" spans="6:30" ht="10.5" customHeight="1">
      <c r="F507" s="332"/>
      <c r="G507" s="312"/>
      <c r="H507" s="312"/>
      <c r="I507" s="312"/>
      <c r="J507" s="312"/>
      <c r="K507" s="312"/>
      <c r="L507" s="312"/>
      <c r="M507" s="312"/>
      <c r="N507" s="312"/>
      <c r="O507" s="312"/>
      <c r="P507" s="554" t="s">
        <v>2295</v>
      </c>
      <c r="Q507" s="292"/>
      <c r="R507" s="170"/>
      <c r="S507" s="389"/>
      <c r="T507" s="501" t="s">
        <v>1556</v>
      </c>
      <c r="U507" s="501" t="s">
        <v>1852</v>
      </c>
      <c r="AA507" s="26"/>
      <c r="AB507" s="26"/>
      <c r="AC507" s="931"/>
      <c r="AD507" s="512"/>
    </row>
    <row r="508" spans="6:30" ht="10.5" customHeight="1">
      <c r="F508" s="332"/>
      <c r="G508" s="312"/>
      <c r="H508" s="312"/>
      <c r="I508" s="312"/>
      <c r="J508" s="312"/>
      <c r="K508" s="312"/>
      <c r="L508" s="312"/>
      <c r="M508" s="312"/>
      <c r="N508" s="312"/>
      <c r="O508" s="312"/>
      <c r="P508" s="554" t="s">
        <v>477</v>
      </c>
      <c r="Q508" s="292"/>
      <c r="R508" s="170"/>
      <c r="S508" s="389"/>
      <c r="T508" s="501" t="s">
        <v>1559</v>
      </c>
      <c r="U508" s="501" t="s">
        <v>2555</v>
      </c>
      <c r="AA508" s="26"/>
      <c r="AB508" s="26"/>
      <c r="AC508" s="931"/>
      <c r="AD508" s="512"/>
    </row>
    <row r="509" spans="6:30" ht="10.5" customHeight="1">
      <c r="F509" s="332"/>
      <c r="G509" s="312"/>
      <c r="H509" s="312"/>
      <c r="I509" s="312"/>
      <c r="J509" s="312"/>
      <c r="K509" s="312"/>
      <c r="L509" s="312"/>
      <c r="M509" s="312"/>
      <c r="N509" s="312"/>
      <c r="O509" s="312"/>
      <c r="P509" s="554" t="s">
        <v>1286</v>
      </c>
      <c r="Q509" s="292"/>
      <c r="R509" s="170"/>
      <c r="S509" s="389"/>
      <c r="T509" s="501" t="s">
        <v>374</v>
      </c>
      <c r="U509" s="501" t="s">
        <v>2454</v>
      </c>
      <c r="AA509" s="26"/>
      <c r="AB509" s="26"/>
      <c r="AC509" s="931"/>
      <c r="AD509" s="512"/>
    </row>
    <row r="510" spans="6:30" ht="10.5" customHeight="1">
      <c r="F510" s="332"/>
      <c r="G510" s="312"/>
      <c r="H510" s="312"/>
      <c r="I510" s="312"/>
      <c r="J510" s="312"/>
      <c r="K510" s="312"/>
      <c r="L510" s="312"/>
      <c r="M510" s="312"/>
      <c r="N510" s="312"/>
      <c r="O510" s="312"/>
      <c r="P510" s="554" t="s">
        <v>636</v>
      </c>
      <c r="Q510" s="292"/>
      <c r="R510" s="170"/>
      <c r="S510" s="389"/>
      <c r="T510" s="501" t="s">
        <v>376</v>
      </c>
      <c r="U510" s="501" t="s">
        <v>1305</v>
      </c>
      <c r="AA510" s="26"/>
      <c r="AB510" s="26"/>
      <c r="AC510" s="931"/>
      <c r="AD510" s="512"/>
    </row>
    <row r="511" spans="6:30" ht="10.5" customHeight="1">
      <c r="F511" s="332"/>
      <c r="G511" s="312"/>
      <c r="H511" s="312"/>
      <c r="I511" s="312"/>
      <c r="J511" s="312"/>
      <c r="K511" s="312"/>
      <c r="L511" s="312"/>
      <c r="M511" s="312"/>
      <c r="N511" s="312"/>
      <c r="O511" s="312"/>
      <c r="P511" s="554" t="s">
        <v>676</v>
      </c>
      <c r="Q511" s="292"/>
      <c r="R511" s="170"/>
      <c r="S511" s="389"/>
      <c r="T511" s="557" t="s">
        <v>244</v>
      </c>
      <c r="U511" s="501" t="s">
        <v>2146</v>
      </c>
      <c r="AA511" s="26"/>
      <c r="AB511" s="26"/>
      <c r="AC511" s="931"/>
      <c r="AD511" s="512"/>
    </row>
    <row r="512" spans="6:30" ht="10.5" customHeight="1">
      <c r="F512" s="332"/>
      <c r="G512" s="312"/>
      <c r="H512" s="312"/>
      <c r="I512" s="312"/>
      <c r="J512" s="312"/>
      <c r="K512" s="312"/>
      <c r="L512" s="312"/>
      <c r="M512" s="312"/>
      <c r="N512" s="312"/>
      <c r="O512" s="312"/>
      <c r="P512" s="554" t="s">
        <v>677</v>
      </c>
      <c r="Q512" s="292"/>
      <c r="R512" s="170"/>
      <c r="S512" s="389"/>
      <c r="T512" s="557" t="s">
        <v>1588</v>
      </c>
      <c r="U512" s="501" t="s">
        <v>2495</v>
      </c>
      <c r="AA512" s="26"/>
      <c r="AB512" s="26"/>
      <c r="AC512" s="933"/>
      <c r="AD512" s="512"/>
    </row>
    <row r="513" spans="6:30" ht="10.5" customHeight="1">
      <c r="F513" s="332"/>
      <c r="G513" s="312"/>
      <c r="H513" s="312"/>
      <c r="I513" s="312"/>
      <c r="J513" s="312"/>
      <c r="K513" s="312"/>
      <c r="L513" s="312"/>
      <c r="M513" s="312"/>
      <c r="N513" s="312"/>
      <c r="O513" s="312"/>
      <c r="P513" s="554" t="s">
        <v>514</v>
      </c>
      <c r="Q513" s="292"/>
      <c r="R513" s="170"/>
      <c r="S513" s="389"/>
      <c r="T513" s="501" t="s">
        <v>2810</v>
      </c>
      <c r="U513" s="501" t="s">
        <v>325</v>
      </c>
      <c r="AA513" s="26"/>
      <c r="AB513" s="26"/>
      <c r="AC513" s="933"/>
      <c r="AD513" s="512"/>
    </row>
    <row r="514" spans="6:30" ht="10.5" customHeight="1">
      <c r="F514" s="332"/>
      <c r="G514" s="312"/>
      <c r="H514" s="312"/>
      <c r="I514" s="312"/>
      <c r="J514" s="312"/>
      <c r="K514" s="312"/>
      <c r="L514" s="312"/>
      <c r="M514" s="312"/>
      <c r="N514" s="312"/>
      <c r="O514" s="312"/>
      <c r="P514" s="554" t="s">
        <v>516</v>
      </c>
      <c r="Q514" s="292"/>
      <c r="R514" s="170"/>
      <c r="S514" s="389"/>
      <c r="T514" s="501" t="s">
        <v>1073</v>
      </c>
      <c r="U514" s="501" t="s">
        <v>2557</v>
      </c>
      <c r="AA514" s="26"/>
      <c r="AB514" s="26"/>
      <c r="AC514" s="931"/>
      <c r="AD514" s="512"/>
    </row>
    <row r="515" spans="6:30" ht="10.5" customHeight="1">
      <c r="F515" s="332"/>
      <c r="G515" s="312"/>
      <c r="H515" s="312"/>
      <c r="I515" s="312"/>
      <c r="J515" s="312"/>
      <c r="K515" s="312"/>
      <c r="L515" s="312"/>
      <c r="M515" s="312"/>
      <c r="N515" s="312"/>
      <c r="O515" s="312"/>
      <c r="P515" s="554" t="s">
        <v>518</v>
      </c>
      <c r="Q515" s="292"/>
      <c r="R515" s="170"/>
      <c r="S515" s="389"/>
      <c r="T515" s="501" t="s">
        <v>1075</v>
      </c>
      <c r="U515" s="501" t="s">
        <v>1295</v>
      </c>
      <c r="AA515" s="26"/>
      <c r="AB515" s="26"/>
      <c r="AC515" s="931"/>
      <c r="AD515" s="512"/>
    </row>
    <row r="516" spans="6:30" ht="10.5" customHeight="1">
      <c r="F516" s="332"/>
      <c r="G516" s="312"/>
      <c r="H516" s="312"/>
      <c r="I516" s="312"/>
      <c r="J516" s="312"/>
      <c r="K516" s="312"/>
      <c r="L516" s="312"/>
      <c r="M516" s="312"/>
      <c r="N516" s="312"/>
      <c r="O516" s="312"/>
      <c r="P516" s="554" t="s">
        <v>520</v>
      </c>
      <c r="Q516" s="292"/>
      <c r="R516" s="170"/>
      <c r="S516" s="389"/>
      <c r="T516" s="501" t="s">
        <v>1077</v>
      </c>
      <c r="U516" s="501" t="s">
        <v>644</v>
      </c>
      <c r="AA516" s="26"/>
      <c r="AB516" s="26"/>
      <c r="AC516" s="931"/>
      <c r="AD516" s="512"/>
    </row>
    <row r="517" spans="6:30" ht="10.5" customHeight="1">
      <c r="F517" s="332"/>
      <c r="G517" s="312"/>
      <c r="H517" s="312"/>
      <c r="I517" s="312"/>
      <c r="J517" s="312"/>
      <c r="K517" s="312"/>
      <c r="L517" s="312"/>
      <c r="M517" s="312"/>
      <c r="N517" s="312"/>
      <c r="O517" s="312"/>
      <c r="P517" s="554" t="s">
        <v>533</v>
      </c>
      <c r="Q517" s="292"/>
      <c r="R517" s="170"/>
      <c r="S517" s="389"/>
      <c r="T517" s="555" t="s">
        <v>255</v>
      </c>
      <c r="U517" s="555" t="s">
        <v>316</v>
      </c>
      <c r="AA517" s="26"/>
      <c r="AB517" s="26"/>
      <c r="AC517" s="931"/>
      <c r="AD517" s="512"/>
    </row>
    <row r="518" spans="6:30" ht="10.5" customHeight="1">
      <c r="F518" s="332"/>
      <c r="G518" s="312"/>
      <c r="H518" s="312"/>
      <c r="I518" s="312"/>
      <c r="J518" s="312"/>
      <c r="K518" s="312"/>
      <c r="L518" s="312"/>
      <c r="M518" s="312"/>
      <c r="N518" s="312"/>
      <c r="O518" s="312"/>
      <c r="P518" s="554" t="s">
        <v>535</v>
      </c>
      <c r="Q518" s="292"/>
      <c r="R518" s="170"/>
      <c r="S518" s="389"/>
      <c r="T518" s="501" t="s">
        <v>257</v>
      </c>
      <c r="U518" s="501" t="s">
        <v>2368</v>
      </c>
      <c r="AA518" s="26"/>
      <c r="AB518" s="26"/>
      <c r="AC518" s="932"/>
      <c r="AD518" s="512"/>
    </row>
    <row r="519" spans="6:30" ht="10.5" customHeight="1">
      <c r="F519" s="332"/>
      <c r="G519" s="312"/>
      <c r="H519" s="312"/>
      <c r="I519" s="312"/>
      <c r="J519" s="312"/>
      <c r="K519" s="312"/>
      <c r="L519" s="312"/>
      <c r="M519" s="312"/>
      <c r="N519" s="312"/>
      <c r="O519" s="312"/>
      <c r="P519" s="554" t="s">
        <v>704</v>
      </c>
      <c r="Q519" s="292"/>
      <c r="R519" s="170"/>
      <c r="S519" s="389"/>
      <c r="T519" s="501" t="s">
        <v>3883</v>
      </c>
      <c r="U519" s="501" t="s">
        <v>858</v>
      </c>
      <c r="AA519" s="26"/>
      <c r="AB519" s="26"/>
      <c r="AC519" s="931"/>
      <c r="AD519" s="512"/>
    </row>
    <row r="520" spans="6:30" ht="10.5" customHeight="1">
      <c r="F520" s="332"/>
      <c r="G520" s="312"/>
      <c r="H520" s="312"/>
      <c r="I520" s="312"/>
      <c r="J520" s="312"/>
      <c r="K520" s="312"/>
      <c r="L520" s="312"/>
      <c r="M520" s="312"/>
      <c r="N520" s="312"/>
      <c r="O520" s="312"/>
      <c r="P520" s="554" t="s">
        <v>577</v>
      </c>
      <c r="Q520" s="292"/>
      <c r="R520" s="170"/>
      <c r="S520" s="389"/>
      <c r="T520" s="555" t="s">
        <v>2296</v>
      </c>
      <c r="U520" s="555" t="s">
        <v>1083</v>
      </c>
      <c r="AA520" s="26"/>
      <c r="AB520" s="26"/>
      <c r="AC520" s="931"/>
      <c r="AD520" s="512"/>
    </row>
    <row r="521" spans="6:30" ht="10.5" customHeight="1">
      <c r="F521" s="332"/>
      <c r="G521" s="312"/>
      <c r="H521" s="312"/>
      <c r="I521" s="312"/>
      <c r="J521" s="312"/>
      <c r="K521" s="312"/>
      <c r="L521" s="312"/>
      <c r="M521" s="312"/>
      <c r="N521" s="312"/>
      <c r="O521" s="312"/>
      <c r="P521" s="554" t="s">
        <v>578</v>
      </c>
      <c r="Q521" s="292"/>
      <c r="R521" s="170"/>
      <c r="S521" s="389"/>
      <c r="T521" s="501" t="s">
        <v>478</v>
      </c>
      <c r="U521" s="501" t="s">
        <v>1647</v>
      </c>
      <c r="AA521" s="26"/>
      <c r="AB521" s="26"/>
      <c r="AC521" s="932"/>
      <c r="AD521" s="512"/>
    </row>
    <row r="522" spans="6:30" ht="10.5" customHeight="1">
      <c r="F522" s="332"/>
      <c r="G522" s="312"/>
      <c r="H522" s="312"/>
      <c r="I522" s="312"/>
      <c r="J522" s="312"/>
      <c r="K522" s="312"/>
      <c r="L522" s="312"/>
      <c r="M522" s="312"/>
      <c r="N522" s="312"/>
      <c r="O522" s="312"/>
      <c r="P522" s="554" t="s">
        <v>2051</v>
      </c>
      <c r="Q522" s="292"/>
      <c r="R522" s="170"/>
      <c r="S522" s="389"/>
      <c r="T522" s="501" t="s">
        <v>2811</v>
      </c>
      <c r="U522" s="501" t="s">
        <v>2156</v>
      </c>
      <c r="AA522" s="26"/>
      <c r="AB522" s="26"/>
      <c r="AC522" s="931"/>
      <c r="AD522" s="512"/>
    </row>
    <row r="523" spans="6:30" ht="10.5" customHeight="1">
      <c r="F523" s="332"/>
      <c r="G523" s="312"/>
      <c r="H523" s="312"/>
      <c r="I523" s="312"/>
      <c r="J523" s="312"/>
      <c r="K523" s="312"/>
      <c r="L523" s="312"/>
      <c r="M523" s="312"/>
      <c r="N523" s="312"/>
      <c r="O523" s="312"/>
      <c r="P523" s="554" t="s">
        <v>460</v>
      </c>
      <c r="Q523" s="292"/>
      <c r="R523" s="170"/>
      <c r="S523" s="389"/>
      <c r="T523" s="501" t="s">
        <v>675</v>
      </c>
      <c r="U523" s="501" t="s">
        <v>160</v>
      </c>
      <c r="AA523" s="26"/>
      <c r="AB523" s="26"/>
      <c r="AC523" s="931"/>
      <c r="AD523" s="512"/>
    </row>
    <row r="524" spans="6:30" ht="10.5" customHeight="1">
      <c r="F524" s="332"/>
      <c r="G524" s="312"/>
      <c r="H524" s="312"/>
      <c r="I524" s="312"/>
      <c r="J524" s="312"/>
      <c r="K524" s="312"/>
      <c r="L524" s="312"/>
      <c r="M524" s="312"/>
      <c r="N524" s="312"/>
      <c r="O524" s="312"/>
      <c r="P524" s="554" t="s">
        <v>461</v>
      </c>
      <c r="Q524" s="292"/>
      <c r="R524" s="170"/>
      <c r="S524" s="389"/>
      <c r="T524" s="501" t="s">
        <v>513</v>
      </c>
      <c r="U524" s="501" t="s">
        <v>720</v>
      </c>
      <c r="AA524" s="26"/>
      <c r="AB524" s="26"/>
      <c r="AC524" s="931"/>
      <c r="AD524" s="512"/>
    </row>
    <row r="525" spans="6:30" ht="10.5" customHeight="1">
      <c r="F525" s="332"/>
      <c r="G525" s="312"/>
      <c r="H525" s="312"/>
      <c r="I525" s="312"/>
      <c r="J525" s="312"/>
      <c r="K525" s="312"/>
      <c r="L525" s="312"/>
      <c r="M525" s="312"/>
      <c r="N525" s="312"/>
      <c r="O525" s="312"/>
      <c r="P525" s="554" t="s">
        <v>1249</v>
      </c>
      <c r="Q525" s="292"/>
      <c r="R525" s="170"/>
      <c r="S525" s="389"/>
      <c r="T525" s="501" t="s">
        <v>515</v>
      </c>
      <c r="U525" s="501" t="s">
        <v>1314</v>
      </c>
      <c r="AA525" s="26"/>
      <c r="AB525" s="26"/>
      <c r="AC525" s="931"/>
      <c r="AD525" s="512"/>
    </row>
    <row r="526" spans="6:30" ht="10.5" customHeight="1">
      <c r="F526" s="332"/>
      <c r="G526" s="312"/>
      <c r="H526" s="312"/>
      <c r="I526" s="312"/>
      <c r="J526" s="312"/>
      <c r="K526" s="312"/>
      <c r="L526" s="312"/>
      <c r="M526" s="312"/>
      <c r="N526" s="312"/>
      <c r="O526" s="312"/>
      <c r="P526" s="554" t="s">
        <v>981</v>
      </c>
      <c r="Q526" s="292"/>
      <c r="R526" s="170"/>
      <c r="S526" s="389"/>
      <c r="T526" s="501" t="s">
        <v>517</v>
      </c>
      <c r="U526" s="501" t="s">
        <v>1440</v>
      </c>
      <c r="AA526" s="26"/>
      <c r="AB526" s="26"/>
      <c r="AC526" s="931"/>
      <c r="AD526" s="512"/>
    </row>
    <row r="527" spans="6:30" ht="10.5" customHeight="1">
      <c r="F527" s="332"/>
      <c r="G527" s="312"/>
      <c r="H527" s="312"/>
      <c r="I527" s="312"/>
      <c r="J527" s="312"/>
      <c r="K527" s="312"/>
      <c r="L527" s="312"/>
      <c r="M527" s="312"/>
      <c r="N527" s="312"/>
      <c r="O527" s="312"/>
      <c r="P527" s="554" t="s">
        <v>983</v>
      </c>
      <c r="Q527" s="292"/>
      <c r="R527" s="170"/>
      <c r="S527" s="389"/>
      <c r="T527" s="501" t="s">
        <v>519</v>
      </c>
      <c r="U527" s="501" t="s">
        <v>858</v>
      </c>
      <c r="AA527" s="26"/>
      <c r="AB527" s="26"/>
      <c r="AC527" s="931"/>
      <c r="AD527" s="512"/>
    </row>
    <row r="528" spans="6:30" ht="10.5" customHeight="1">
      <c r="F528" s="332"/>
      <c r="G528" s="312"/>
      <c r="H528" s="312"/>
      <c r="I528" s="312"/>
      <c r="J528" s="312"/>
      <c r="K528" s="312"/>
      <c r="L528" s="312"/>
      <c r="M528" s="312"/>
      <c r="N528" s="312"/>
      <c r="O528" s="312"/>
      <c r="P528" s="554" t="s">
        <v>984</v>
      </c>
      <c r="Q528" s="292"/>
      <c r="R528" s="170"/>
      <c r="S528" s="389"/>
      <c r="T528" s="501" t="s">
        <v>521</v>
      </c>
      <c r="U528" s="501" t="s">
        <v>1761</v>
      </c>
      <c r="AA528" s="26"/>
      <c r="AB528" s="26"/>
      <c r="AC528" s="931"/>
      <c r="AD528" s="512"/>
    </row>
    <row r="529" spans="6:30" ht="10.5" customHeight="1">
      <c r="F529" s="332"/>
      <c r="G529" s="312"/>
      <c r="H529" s="312"/>
      <c r="I529" s="312"/>
      <c r="J529" s="312"/>
      <c r="K529" s="312"/>
      <c r="L529" s="312"/>
      <c r="M529" s="312"/>
      <c r="N529" s="312"/>
      <c r="O529" s="312"/>
      <c r="P529" s="554" t="s">
        <v>137</v>
      </c>
      <c r="Q529" s="292"/>
      <c r="R529" s="170"/>
      <c r="S529" s="389"/>
      <c r="T529" s="501" t="s">
        <v>534</v>
      </c>
      <c r="U529" s="501" t="s">
        <v>327</v>
      </c>
      <c r="AA529" s="26"/>
      <c r="AB529" s="26"/>
      <c r="AC529" s="931"/>
      <c r="AD529" s="512"/>
    </row>
    <row r="530" spans="6:30" ht="10.5" customHeight="1">
      <c r="F530" s="332"/>
      <c r="G530" s="312"/>
      <c r="H530" s="312"/>
      <c r="I530" s="312"/>
      <c r="J530" s="312"/>
      <c r="K530" s="312"/>
      <c r="L530" s="312"/>
      <c r="M530" s="312"/>
      <c r="N530" s="312"/>
      <c r="O530" s="312"/>
      <c r="P530" s="554" t="s">
        <v>138</v>
      </c>
      <c r="Q530" s="292"/>
      <c r="R530" s="170"/>
      <c r="S530" s="389"/>
      <c r="T530" s="501" t="s">
        <v>536</v>
      </c>
      <c r="U530" s="501" t="s">
        <v>425</v>
      </c>
      <c r="AA530" s="26"/>
      <c r="AB530" s="26"/>
      <c r="AC530" s="931"/>
      <c r="AD530" s="512"/>
    </row>
    <row r="531" spans="6:30" ht="10.5" customHeight="1">
      <c r="F531" s="332"/>
      <c r="G531" s="312"/>
      <c r="H531" s="312"/>
      <c r="I531" s="312"/>
      <c r="J531" s="312"/>
      <c r="K531" s="312"/>
      <c r="L531" s="312"/>
      <c r="M531" s="312"/>
      <c r="N531" s="312"/>
      <c r="O531" s="312"/>
      <c r="P531" s="554" t="s">
        <v>140</v>
      </c>
      <c r="Q531" s="292"/>
      <c r="R531" s="170"/>
      <c r="S531" s="389"/>
      <c r="T531" s="501" t="s">
        <v>681</v>
      </c>
      <c r="U531" s="501" t="s">
        <v>1191</v>
      </c>
      <c r="AA531" s="26"/>
      <c r="AB531" s="26"/>
      <c r="AC531" s="931"/>
      <c r="AD531" s="512"/>
    </row>
    <row r="532" spans="6:30" ht="10.5" customHeight="1">
      <c r="F532" s="332"/>
      <c r="G532" s="312"/>
      <c r="H532" s="312"/>
      <c r="I532" s="312"/>
      <c r="J532" s="312"/>
      <c r="K532" s="312"/>
      <c r="L532" s="312"/>
      <c r="M532" s="312"/>
      <c r="N532" s="312"/>
      <c r="O532" s="312"/>
      <c r="P532" s="554" t="s">
        <v>2560</v>
      </c>
      <c r="Q532" s="292"/>
      <c r="R532" s="170"/>
      <c r="S532" s="389"/>
      <c r="T532" s="555" t="s">
        <v>817</v>
      </c>
      <c r="U532" s="555" t="s">
        <v>644</v>
      </c>
      <c r="AA532" s="26"/>
      <c r="AB532" s="26"/>
      <c r="AC532" s="931"/>
      <c r="AD532" s="512"/>
    </row>
    <row r="533" spans="6:30" ht="10.5" customHeight="1">
      <c r="F533" s="332"/>
      <c r="G533" s="312"/>
      <c r="H533" s="312"/>
      <c r="I533" s="312"/>
      <c r="J533" s="312"/>
      <c r="K533" s="312"/>
      <c r="L533" s="312"/>
      <c r="M533" s="312"/>
      <c r="N533" s="312"/>
      <c r="O533" s="312"/>
      <c r="P533" s="554" t="s">
        <v>2068</v>
      </c>
      <c r="Q533" s="292"/>
      <c r="R533" s="170"/>
      <c r="S533" s="389"/>
      <c r="T533" s="501" t="s">
        <v>1614</v>
      </c>
      <c r="U533" s="501" t="s">
        <v>653</v>
      </c>
      <c r="AA533" s="26"/>
      <c r="AB533" s="26"/>
      <c r="AC533" s="932"/>
      <c r="AD533" s="512"/>
    </row>
    <row r="534" spans="6:30" ht="10.5" customHeight="1">
      <c r="F534" s="332"/>
      <c r="G534" s="312"/>
      <c r="H534" s="312"/>
      <c r="I534" s="312"/>
      <c r="J534" s="312"/>
      <c r="K534" s="312"/>
      <c r="L534" s="312"/>
      <c r="M534" s="312"/>
      <c r="N534" s="312"/>
      <c r="O534" s="312"/>
      <c r="P534" s="554" t="s">
        <v>2070</v>
      </c>
      <c r="Q534" s="292"/>
      <c r="R534" s="170"/>
      <c r="S534" s="389"/>
      <c r="T534" s="501" t="s">
        <v>2052</v>
      </c>
      <c r="U534" s="501" t="s">
        <v>1083</v>
      </c>
      <c r="AA534" s="26"/>
      <c r="AB534" s="26"/>
      <c r="AC534" s="931"/>
      <c r="AD534" s="512"/>
    </row>
    <row r="535" spans="6:30" ht="10.5" customHeight="1">
      <c r="F535" s="332"/>
      <c r="G535" s="312"/>
      <c r="H535" s="312"/>
      <c r="I535" s="312"/>
      <c r="J535" s="312"/>
      <c r="K535" s="312"/>
      <c r="L535" s="312"/>
      <c r="M535" s="312"/>
      <c r="N535" s="312"/>
      <c r="O535" s="312"/>
      <c r="P535" s="554" t="s">
        <v>579</v>
      </c>
      <c r="Q535" s="292"/>
      <c r="R535" s="170"/>
      <c r="S535" s="389"/>
      <c r="T535" s="501" t="s">
        <v>1616</v>
      </c>
      <c r="U535" s="501" t="s">
        <v>1982</v>
      </c>
      <c r="AA535" s="26"/>
      <c r="AB535" s="26"/>
      <c r="AC535" s="931"/>
      <c r="AD535" s="512"/>
    </row>
    <row r="536" spans="6:30" ht="10.5" customHeight="1">
      <c r="F536" s="332"/>
      <c r="G536" s="312"/>
      <c r="H536" s="312"/>
      <c r="I536" s="312"/>
      <c r="J536" s="312"/>
      <c r="K536" s="312"/>
      <c r="L536" s="312"/>
      <c r="M536" s="312"/>
      <c r="N536" s="312"/>
      <c r="O536" s="312"/>
      <c r="P536" s="554" t="s">
        <v>2313</v>
      </c>
      <c r="Q536" s="292"/>
      <c r="R536" s="170"/>
      <c r="S536" s="389"/>
      <c r="T536" s="501" t="s">
        <v>462</v>
      </c>
      <c r="U536" s="501" t="s">
        <v>1305</v>
      </c>
      <c r="AA536" s="26"/>
      <c r="AB536" s="26"/>
      <c r="AC536" s="931"/>
      <c r="AD536" s="512"/>
    </row>
    <row r="537" spans="6:30" ht="10.5" customHeight="1">
      <c r="F537" s="332"/>
      <c r="G537" s="312"/>
      <c r="H537" s="312"/>
      <c r="I537" s="312"/>
      <c r="J537" s="312"/>
      <c r="K537" s="312"/>
      <c r="L537" s="312"/>
      <c r="M537" s="312"/>
      <c r="N537" s="312"/>
      <c r="O537" s="312"/>
      <c r="P537" s="554" t="s">
        <v>692</v>
      </c>
      <c r="Q537" s="292"/>
      <c r="R537" s="170"/>
      <c r="S537" s="389"/>
      <c r="T537" s="501" t="s">
        <v>182</v>
      </c>
      <c r="U537" s="501" t="s">
        <v>157</v>
      </c>
      <c r="AA537" s="26"/>
      <c r="AB537" s="26"/>
      <c r="AC537" s="931"/>
      <c r="AD537" s="512"/>
    </row>
    <row r="538" spans="6:30" ht="10.5" customHeight="1">
      <c r="F538" s="332"/>
      <c r="G538" s="312"/>
      <c r="H538" s="312"/>
      <c r="I538" s="312"/>
      <c r="J538" s="312"/>
      <c r="K538" s="312"/>
      <c r="L538" s="312"/>
      <c r="M538" s="312"/>
      <c r="N538" s="312"/>
      <c r="O538" s="312"/>
      <c r="P538" s="554" t="s">
        <v>694</v>
      </c>
      <c r="Q538" s="292"/>
      <c r="R538" s="170"/>
      <c r="S538" s="389"/>
      <c r="T538" s="501" t="s">
        <v>1250</v>
      </c>
      <c r="U538" s="501" t="s">
        <v>322</v>
      </c>
      <c r="AA538" s="26"/>
      <c r="AB538" s="26"/>
      <c r="AC538" s="931"/>
      <c r="AD538" s="512"/>
    </row>
    <row r="539" spans="6:30" ht="10.5" customHeight="1">
      <c r="F539" s="332"/>
      <c r="G539" s="312"/>
      <c r="H539" s="312"/>
      <c r="I539" s="312"/>
      <c r="J539" s="312"/>
      <c r="K539" s="312"/>
      <c r="L539" s="312"/>
      <c r="M539" s="312"/>
      <c r="N539" s="312"/>
      <c r="O539" s="312"/>
      <c r="P539" s="554" t="s">
        <v>2255</v>
      </c>
      <c r="Q539" s="292"/>
      <c r="R539" s="170"/>
      <c r="S539" s="389"/>
      <c r="T539" s="501" t="s">
        <v>982</v>
      </c>
      <c r="U539" s="501" t="s">
        <v>1437</v>
      </c>
      <c r="AA539" s="26"/>
      <c r="AB539" s="26"/>
      <c r="AC539" s="931"/>
      <c r="AD539" s="512"/>
    </row>
    <row r="540" spans="6:30" ht="10.5" customHeight="1">
      <c r="F540" s="332"/>
      <c r="G540" s="312"/>
      <c r="H540" s="312"/>
      <c r="I540" s="312"/>
      <c r="J540" s="312"/>
      <c r="K540" s="312"/>
      <c r="L540" s="312"/>
      <c r="M540" s="312"/>
      <c r="N540" s="312"/>
      <c r="O540" s="312"/>
      <c r="P540" s="554" t="s">
        <v>40</v>
      </c>
      <c r="Q540" s="292"/>
      <c r="R540" s="170"/>
      <c r="S540" s="389"/>
      <c r="T540" s="501" t="s">
        <v>1046</v>
      </c>
      <c r="U540" s="501" t="s">
        <v>173</v>
      </c>
      <c r="AA540" s="26"/>
      <c r="AB540" s="26"/>
      <c r="AC540" s="931"/>
      <c r="AD540" s="512"/>
    </row>
    <row r="541" spans="6:30" ht="10.5" customHeight="1">
      <c r="F541" s="332"/>
      <c r="G541" s="312"/>
      <c r="H541" s="312"/>
      <c r="I541" s="312"/>
      <c r="J541" s="312"/>
      <c r="K541" s="312"/>
      <c r="L541" s="312"/>
      <c r="M541" s="312"/>
      <c r="N541" s="312"/>
      <c r="O541" s="312"/>
      <c r="P541" s="554" t="s">
        <v>41</v>
      </c>
      <c r="Q541" s="292"/>
      <c r="R541" s="170"/>
      <c r="S541" s="389"/>
      <c r="T541" s="501" t="s">
        <v>136</v>
      </c>
      <c r="U541" s="501" t="s">
        <v>2498</v>
      </c>
      <c r="AA541" s="26"/>
      <c r="AB541" s="26"/>
      <c r="AC541" s="931"/>
      <c r="AD541" s="512"/>
    </row>
    <row r="542" spans="6:30" ht="10.5" customHeight="1">
      <c r="F542" s="332"/>
      <c r="G542" s="312"/>
      <c r="H542" s="312"/>
      <c r="I542" s="312"/>
      <c r="J542" s="312"/>
      <c r="K542" s="312"/>
      <c r="L542" s="312"/>
      <c r="M542" s="312"/>
      <c r="N542" s="312"/>
      <c r="O542" s="312"/>
      <c r="P542" s="554" t="s">
        <v>2219</v>
      </c>
      <c r="Q542" s="292"/>
      <c r="R542" s="170"/>
      <c r="S542" s="389"/>
      <c r="T542" s="501" t="s">
        <v>2550</v>
      </c>
      <c r="U542" s="501" t="s">
        <v>1317</v>
      </c>
      <c r="AA542" s="26"/>
      <c r="AB542" s="26"/>
      <c r="AC542" s="931"/>
      <c r="AD542" s="512"/>
    </row>
    <row r="543" spans="6:30" ht="10.5" customHeight="1">
      <c r="F543" s="332"/>
      <c r="G543" s="312"/>
      <c r="H543" s="312"/>
      <c r="I543" s="312"/>
      <c r="J543" s="312"/>
      <c r="K543" s="312"/>
      <c r="L543" s="312"/>
      <c r="M543" s="312"/>
      <c r="N543" s="312"/>
      <c r="O543" s="312"/>
      <c r="P543" s="554" t="s">
        <v>2246</v>
      </c>
      <c r="Q543" s="292"/>
      <c r="R543" s="170"/>
      <c r="S543" s="389"/>
      <c r="T543" s="501" t="s">
        <v>139</v>
      </c>
      <c r="U543" s="501" t="s">
        <v>644</v>
      </c>
      <c r="AA543" s="26"/>
      <c r="AB543" s="26"/>
      <c r="AC543" s="931"/>
      <c r="AD543" s="512"/>
    </row>
    <row r="544" spans="6:30" ht="10.5" customHeight="1">
      <c r="F544" s="332"/>
      <c r="G544" s="312"/>
      <c r="H544" s="312"/>
      <c r="I544" s="312"/>
      <c r="J544" s="312"/>
      <c r="K544" s="312"/>
      <c r="L544" s="312"/>
      <c r="M544" s="312"/>
      <c r="N544" s="312"/>
      <c r="O544" s="312"/>
      <c r="P544" s="554" t="s">
        <v>389</v>
      </c>
      <c r="Q544" s="292"/>
      <c r="R544" s="170"/>
      <c r="S544" s="389"/>
      <c r="T544" s="501" t="s">
        <v>141</v>
      </c>
      <c r="U544" s="501" t="s">
        <v>2451</v>
      </c>
      <c r="AA544" s="26"/>
      <c r="AB544" s="26"/>
      <c r="AC544" s="931"/>
      <c r="AD544" s="512"/>
    </row>
    <row r="545" spans="6:30" ht="10.5" customHeight="1">
      <c r="F545" s="332"/>
      <c r="G545" s="312"/>
      <c r="H545" s="312"/>
      <c r="I545" s="312"/>
      <c r="J545" s="312"/>
      <c r="K545" s="312"/>
      <c r="L545" s="312"/>
      <c r="M545" s="312"/>
      <c r="N545" s="312"/>
      <c r="O545" s="312"/>
      <c r="P545" s="554" t="s">
        <v>391</v>
      </c>
      <c r="Q545" s="292"/>
      <c r="R545" s="170"/>
      <c r="S545" s="389"/>
      <c r="T545" s="555" t="s">
        <v>2561</v>
      </c>
      <c r="U545" s="555" t="s">
        <v>1309</v>
      </c>
      <c r="AA545" s="26"/>
      <c r="AB545" s="26"/>
      <c r="AC545" s="931"/>
      <c r="AD545" s="512"/>
    </row>
    <row r="546" spans="6:30" ht="10.5" customHeight="1">
      <c r="F546" s="332"/>
      <c r="G546" s="312"/>
      <c r="H546" s="312"/>
      <c r="I546" s="312"/>
      <c r="J546" s="312"/>
      <c r="K546" s="312"/>
      <c r="L546" s="312"/>
      <c r="M546" s="312"/>
      <c r="N546" s="312"/>
      <c r="O546" s="312"/>
      <c r="P546" s="554" t="s">
        <v>393</v>
      </c>
      <c r="Q546" s="292"/>
      <c r="R546" s="170"/>
      <c r="S546" s="389"/>
      <c r="T546" s="555" t="s">
        <v>2069</v>
      </c>
      <c r="U546" s="555" t="s">
        <v>2457</v>
      </c>
      <c r="AA546" s="26"/>
      <c r="AB546" s="26"/>
      <c r="AC546" s="932"/>
      <c r="AD546" s="512"/>
    </row>
    <row r="547" spans="6:30" ht="10.5" customHeight="1">
      <c r="F547" s="332"/>
      <c r="G547" s="312"/>
      <c r="H547" s="312"/>
      <c r="I547" s="312"/>
      <c r="J547" s="312"/>
      <c r="K547" s="312"/>
      <c r="L547" s="312"/>
      <c r="M547" s="312"/>
      <c r="N547" s="312"/>
      <c r="O547" s="312"/>
      <c r="P547" s="554" t="s">
        <v>395</v>
      </c>
      <c r="Q547" s="292"/>
      <c r="R547" s="170"/>
      <c r="S547" s="389"/>
      <c r="T547" s="555" t="s">
        <v>743</v>
      </c>
      <c r="U547" s="555" t="s">
        <v>120</v>
      </c>
      <c r="AA547" s="26"/>
      <c r="AB547" s="26"/>
      <c r="AC547" s="932"/>
      <c r="AD547" s="512"/>
    </row>
    <row r="548" spans="6:30" ht="10.5" customHeight="1">
      <c r="F548" s="332"/>
      <c r="G548" s="312"/>
      <c r="H548" s="312"/>
      <c r="I548" s="312"/>
      <c r="J548" s="312"/>
      <c r="K548" s="312"/>
      <c r="L548" s="312"/>
      <c r="M548" s="312"/>
      <c r="N548" s="312"/>
      <c r="O548" s="312"/>
      <c r="P548" s="554" t="s">
        <v>1564</v>
      </c>
      <c r="Q548" s="292"/>
      <c r="R548" s="170"/>
      <c r="S548" s="389"/>
      <c r="T548" s="501" t="s">
        <v>744</v>
      </c>
      <c r="U548" s="501" t="s">
        <v>182</v>
      </c>
      <c r="AA548" s="26"/>
      <c r="AB548" s="26"/>
      <c r="AC548" s="932"/>
      <c r="AD548" s="512"/>
    </row>
    <row r="549" spans="6:30" ht="10.5" customHeight="1">
      <c r="F549" s="332"/>
      <c r="G549" s="312"/>
      <c r="H549" s="312"/>
      <c r="I549" s="312"/>
      <c r="J549" s="312"/>
      <c r="K549" s="312"/>
      <c r="L549" s="312"/>
      <c r="M549" s="312"/>
      <c r="N549" s="312"/>
      <c r="O549" s="312"/>
      <c r="P549" s="554" t="s">
        <v>1566</v>
      </c>
      <c r="Q549" s="292"/>
      <c r="R549" s="170"/>
      <c r="S549" s="389"/>
      <c r="T549" s="501" t="s">
        <v>693</v>
      </c>
      <c r="U549" s="501" t="s">
        <v>722</v>
      </c>
      <c r="AA549" s="26"/>
      <c r="AB549" s="26"/>
      <c r="AC549" s="931"/>
      <c r="AD549" s="512"/>
    </row>
    <row r="550" spans="6:30" ht="10.5" customHeight="1">
      <c r="F550" s="332"/>
      <c r="G550" s="312"/>
      <c r="H550" s="312"/>
      <c r="I550" s="312"/>
      <c r="J550" s="312"/>
      <c r="K550" s="312"/>
      <c r="L550" s="312"/>
      <c r="M550" s="312"/>
      <c r="N550" s="312"/>
      <c r="O550" s="312"/>
      <c r="P550" s="554" t="s">
        <v>1568</v>
      </c>
      <c r="Q550" s="292"/>
      <c r="R550" s="170"/>
      <c r="S550" s="389"/>
      <c r="T550" s="501" t="s">
        <v>695</v>
      </c>
      <c r="U550" s="501" t="s">
        <v>1092</v>
      </c>
      <c r="AA550" s="26"/>
      <c r="AB550" s="26"/>
      <c r="AC550" s="931"/>
      <c r="AD550" s="512"/>
    </row>
    <row r="551" spans="6:30" ht="10.5" customHeight="1">
      <c r="F551" s="332"/>
      <c r="G551" s="312"/>
      <c r="H551" s="312"/>
      <c r="I551" s="312"/>
      <c r="J551" s="312"/>
      <c r="K551" s="312"/>
      <c r="L551" s="312"/>
      <c r="M551" s="312"/>
      <c r="N551" s="312"/>
      <c r="O551" s="312"/>
      <c r="P551" s="554" t="s">
        <v>2559</v>
      </c>
      <c r="Q551" s="292"/>
      <c r="R551" s="170"/>
      <c r="S551" s="389"/>
      <c r="T551" s="501" t="s">
        <v>2256</v>
      </c>
      <c r="U551" s="501" t="s">
        <v>1191</v>
      </c>
      <c r="AA551" s="26"/>
      <c r="AB551" s="26"/>
      <c r="AC551" s="931"/>
      <c r="AD551" s="512"/>
    </row>
    <row r="552" spans="6:30" ht="10.5" customHeight="1">
      <c r="F552" s="332"/>
      <c r="G552" s="312"/>
      <c r="H552" s="312"/>
      <c r="I552" s="312"/>
      <c r="J552" s="312"/>
      <c r="K552" s="312"/>
      <c r="L552" s="312"/>
      <c r="M552" s="312"/>
      <c r="N552" s="312"/>
      <c r="O552" s="312"/>
      <c r="P552" s="554" t="s">
        <v>2422</v>
      </c>
      <c r="Q552" s="292"/>
      <c r="R552" s="170"/>
      <c r="S552" s="389"/>
      <c r="T552" s="501" t="s">
        <v>2256</v>
      </c>
      <c r="U552" s="501" t="s">
        <v>1191</v>
      </c>
      <c r="AA552" s="26"/>
      <c r="AB552" s="26"/>
      <c r="AC552" s="931"/>
      <c r="AD552" s="512"/>
    </row>
    <row r="553" spans="6:30" ht="10.5" customHeight="1">
      <c r="F553" s="332"/>
      <c r="G553" s="312"/>
      <c r="H553" s="312"/>
      <c r="I553" s="312"/>
      <c r="J553" s="312"/>
      <c r="K553" s="312"/>
      <c r="L553" s="312"/>
      <c r="M553" s="312"/>
      <c r="N553" s="312"/>
      <c r="O553" s="312"/>
      <c r="P553" s="554" t="s">
        <v>1803</v>
      </c>
      <c r="Q553" s="292"/>
      <c r="R553" s="170"/>
      <c r="S553" s="389"/>
      <c r="T553" s="501" t="s">
        <v>42</v>
      </c>
      <c r="U553" s="501" t="s">
        <v>1308</v>
      </c>
      <c r="AA553" s="26"/>
      <c r="AB553" s="26"/>
      <c r="AC553" s="931"/>
      <c r="AD553" s="512"/>
    </row>
    <row r="554" spans="6:30" ht="10.5" customHeight="1">
      <c r="F554" s="332"/>
      <c r="G554" s="312"/>
      <c r="H554" s="312"/>
      <c r="I554" s="312"/>
      <c r="J554" s="312"/>
      <c r="K554" s="312"/>
      <c r="L554" s="312"/>
      <c r="M554" s="312"/>
      <c r="N554" s="312"/>
      <c r="O554" s="312"/>
      <c r="P554" s="554" t="s">
        <v>1805</v>
      </c>
      <c r="Q554" s="292"/>
      <c r="R554" s="170"/>
      <c r="S554" s="389"/>
      <c r="T554" s="501" t="s">
        <v>2220</v>
      </c>
      <c r="U554" s="501" t="s">
        <v>1302</v>
      </c>
      <c r="AA554" s="26"/>
      <c r="AB554" s="26"/>
      <c r="AC554" s="931"/>
      <c r="AD554" s="512"/>
    </row>
    <row r="555" spans="6:30" ht="10.5" customHeight="1">
      <c r="F555" s="332"/>
      <c r="G555" s="312"/>
      <c r="H555" s="312"/>
      <c r="I555" s="312"/>
      <c r="J555" s="312"/>
      <c r="K555" s="312"/>
      <c r="L555" s="312"/>
      <c r="M555" s="312"/>
      <c r="N555" s="312"/>
      <c r="O555" s="312"/>
      <c r="P555" s="554" t="s">
        <v>1807</v>
      </c>
      <c r="Q555" s="292"/>
      <c r="R555" s="170"/>
      <c r="S555" s="389"/>
      <c r="T555" s="501" t="s">
        <v>818</v>
      </c>
      <c r="U555" s="501" t="s">
        <v>173</v>
      </c>
      <c r="AA555" s="26"/>
      <c r="AB555" s="26"/>
      <c r="AC555" s="931"/>
      <c r="AD555" s="512"/>
    </row>
    <row r="556" spans="6:30" ht="10.5" customHeight="1">
      <c r="F556" s="332"/>
      <c r="G556" s="312"/>
      <c r="H556" s="312"/>
      <c r="I556" s="312"/>
      <c r="J556" s="312"/>
      <c r="K556" s="312"/>
      <c r="L556" s="312"/>
      <c r="M556" s="312"/>
      <c r="N556" s="312"/>
      <c r="O556" s="312"/>
      <c r="P556" s="554" t="s">
        <v>1808</v>
      </c>
      <c r="Q556" s="292"/>
      <c r="R556" s="170"/>
      <c r="S556" s="389"/>
      <c r="T556" s="501" t="s">
        <v>1017</v>
      </c>
      <c r="U556" s="501" t="s">
        <v>1080</v>
      </c>
      <c r="AA556" s="26"/>
      <c r="AB556" s="26"/>
      <c r="AC556" s="931"/>
      <c r="AD556" s="512"/>
    </row>
    <row r="557" spans="6:30" ht="10.5" customHeight="1">
      <c r="F557" s="332"/>
      <c r="G557" s="312"/>
      <c r="H557" s="312"/>
      <c r="I557" s="312"/>
      <c r="J557" s="312"/>
      <c r="K557" s="312"/>
      <c r="L557" s="312"/>
      <c r="M557" s="312"/>
      <c r="N557" s="312"/>
      <c r="O557" s="312"/>
      <c r="P557" s="554" t="s">
        <v>1810</v>
      </c>
      <c r="Q557" s="292"/>
      <c r="R557" s="170"/>
      <c r="S557" s="389"/>
      <c r="T557" s="501" t="s">
        <v>390</v>
      </c>
      <c r="U557" s="501" t="s">
        <v>2555</v>
      </c>
      <c r="AA557" s="26"/>
      <c r="AB557" s="26"/>
      <c r="AC557" s="931"/>
      <c r="AD557" s="512"/>
    </row>
    <row r="558" spans="6:30" ht="10.5" customHeight="1">
      <c r="F558" s="332"/>
      <c r="G558" s="312"/>
      <c r="H558" s="312"/>
      <c r="I558" s="312"/>
      <c r="J558" s="312"/>
      <c r="K558" s="312"/>
      <c r="L558" s="312"/>
      <c r="M558" s="312"/>
      <c r="N558" s="312"/>
      <c r="O558" s="312"/>
      <c r="P558" s="554" t="s">
        <v>1812</v>
      </c>
      <c r="Q558" s="292"/>
      <c r="R558" s="170"/>
      <c r="S558" s="389"/>
      <c r="T558" s="501" t="s">
        <v>392</v>
      </c>
      <c r="U558" s="501" t="s">
        <v>2141</v>
      </c>
      <c r="AA558" s="26"/>
      <c r="AB558" s="26"/>
      <c r="AC558" s="931"/>
      <c r="AD558" s="512"/>
    </row>
    <row r="559" spans="6:30" ht="10.5" customHeight="1">
      <c r="F559" s="332"/>
      <c r="G559" s="312"/>
      <c r="H559" s="312"/>
      <c r="I559" s="312"/>
      <c r="J559" s="312"/>
      <c r="K559" s="312"/>
      <c r="L559" s="312"/>
      <c r="M559" s="312"/>
      <c r="N559" s="312"/>
      <c r="O559" s="312"/>
      <c r="P559" s="554" t="s">
        <v>1814</v>
      </c>
      <c r="Q559" s="292"/>
      <c r="R559" s="170"/>
      <c r="S559" s="389"/>
      <c r="T559" s="501" t="s">
        <v>394</v>
      </c>
      <c r="U559" s="501" t="s">
        <v>2498</v>
      </c>
      <c r="AA559" s="26"/>
      <c r="AB559" s="26"/>
      <c r="AC559" s="931"/>
      <c r="AD559" s="512"/>
    </row>
    <row r="560" spans="6:30" ht="10.5" customHeight="1">
      <c r="F560" s="332"/>
      <c r="G560" s="312"/>
      <c r="H560" s="312"/>
      <c r="I560" s="312"/>
      <c r="J560" s="312"/>
      <c r="K560" s="312"/>
      <c r="L560" s="312"/>
      <c r="M560" s="312"/>
      <c r="N560" s="312"/>
      <c r="O560" s="312"/>
      <c r="P560" s="554" t="s">
        <v>1816</v>
      </c>
      <c r="Q560" s="292"/>
      <c r="R560" s="170"/>
      <c r="S560" s="389"/>
      <c r="T560" s="501" t="s">
        <v>2555</v>
      </c>
      <c r="U560" s="501" t="s">
        <v>1759</v>
      </c>
      <c r="AA560" s="26"/>
      <c r="AB560" s="26"/>
      <c r="AC560" s="931"/>
      <c r="AD560" s="512"/>
    </row>
    <row r="561" spans="6:30" ht="10.5" customHeight="1">
      <c r="F561" s="332"/>
      <c r="G561" s="312"/>
      <c r="H561" s="312"/>
      <c r="I561" s="312"/>
      <c r="J561" s="312"/>
      <c r="K561" s="312"/>
      <c r="L561" s="312"/>
      <c r="M561" s="312"/>
      <c r="N561" s="312"/>
      <c r="O561" s="312"/>
      <c r="P561" s="554" t="s">
        <v>1817</v>
      </c>
      <c r="Q561" s="292"/>
      <c r="R561" s="170"/>
      <c r="S561" s="389"/>
      <c r="T561" s="501" t="s">
        <v>1565</v>
      </c>
      <c r="U561" s="501" t="s">
        <v>2455</v>
      </c>
      <c r="AA561" s="26"/>
      <c r="AB561" s="26"/>
      <c r="AC561" s="931"/>
      <c r="AD561" s="512"/>
    </row>
    <row r="562" spans="6:30" ht="10.5" customHeight="1">
      <c r="F562" s="332"/>
      <c r="G562" s="312"/>
      <c r="H562" s="312"/>
      <c r="I562" s="312"/>
      <c r="J562" s="312"/>
      <c r="K562" s="312"/>
      <c r="L562" s="312"/>
      <c r="M562" s="312"/>
      <c r="N562" s="312"/>
      <c r="O562" s="312"/>
      <c r="P562" s="554" t="s">
        <v>1785</v>
      </c>
      <c r="Q562" s="292"/>
      <c r="R562" s="170"/>
      <c r="S562" s="389"/>
      <c r="T562" s="501" t="s">
        <v>1567</v>
      </c>
      <c r="U562" s="501" t="s">
        <v>320</v>
      </c>
      <c r="AA562" s="26"/>
      <c r="AB562" s="26"/>
      <c r="AC562" s="931"/>
      <c r="AD562" s="512"/>
    </row>
    <row r="563" spans="6:30" ht="10.5" customHeight="1">
      <c r="F563" s="332"/>
      <c r="G563" s="312"/>
      <c r="H563" s="312"/>
      <c r="I563" s="312"/>
      <c r="J563" s="312"/>
      <c r="K563" s="312"/>
      <c r="L563" s="312"/>
      <c r="M563" s="312"/>
      <c r="N563" s="312"/>
      <c r="O563" s="312"/>
      <c r="P563" s="554" t="s">
        <v>1622</v>
      </c>
      <c r="Q563" s="292"/>
      <c r="R563" s="170"/>
      <c r="S563" s="389"/>
      <c r="T563" s="501" t="s">
        <v>1422</v>
      </c>
      <c r="U563" s="501" t="s">
        <v>119</v>
      </c>
      <c r="AA563" s="26"/>
      <c r="AB563" s="26"/>
      <c r="AC563" s="931"/>
      <c r="AD563" s="512"/>
    </row>
    <row r="564" spans="6:30" ht="10.5" customHeight="1">
      <c r="F564" s="332"/>
      <c r="G564" s="312"/>
      <c r="H564" s="312"/>
      <c r="I564" s="312"/>
      <c r="J564" s="312"/>
      <c r="K564" s="312"/>
      <c r="L564" s="312"/>
      <c r="M564" s="312"/>
      <c r="N564" s="312"/>
      <c r="O564" s="312"/>
      <c r="P564" s="554" t="s">
        <v>1623</v>
      </c>
      <c r="Q564" s="292"/>
      <c r="R564" s="170"/>
      <c r="S564" s="389"/>
      <c r="T564" s="501" t="s">
        <v>2421</v>
      </c>
      <c r="U564" s="501" t="s">
        <v>2457</v>
      </c>
      <c r="AA564" s="26"/>
      <c r="AB564" s="26"/>
      <c r="AC564" s="931"/>
      <c r="AD564" s="512"/>
    </row>
    <row r="565" spans="6:30" ht="10.5" customHeight="1">
      <c r="F565" s="332"/>
      <c r="G565" s="312"/>
      <c r="H565" s="312"/>
      <c r="I565" s="312"/>
      <c r="J565" s="312"/>
      <c r="K565" s="312"/>
      <c r="L565" s="312"/>
      <c r="M565" s="312"/>
      <c r="N565" s="312"/>
      <c r="O565" s="312"/>
      <c r="P565" s="554" t="s">
        <v>1625</v>
      </c>
      <c r="Q565" s="292"/>
      <c r="R565" s="170"/>
      <c r="S565" s="389"/>
      <c r="T565" s="555" t="s">
        <v>1795</v>
      </c>
      <c r="U565" s="555" t="s">
        <v>2556</v>
      </c>
      <c r="AA565" s="26"/>
      <c r="AB565" s="26"/>
      <c r="AC565" s="931"/>
      <c r="AD565" s="512"/>
    </row>
    <row r="566" spans="6:30" ht="10.5" customHeight="1">
      <c r="F566" s="332"/>
      <c r="G566" s="312"/>
      <c r="H566" s="312"/>
      <c r="I566" s="312"/>
      <c r="J566" s="312"/>
      <c r="K566" s="312"/>
      <c r="L566" s="312"/>
      <c r="M566" s="312"/>
      <c r="N566" s="312"/>
      <c r="O566" s="312"/>
      <c r="P566" s="554" t="s">
        <v>2244</v>
      </c>
      <c r="Q566" s="292"/>
      <c r="R566" s="170"/>
      <c r="S566" s="389"/>
      <c r="T566" s="501" t="s">
        <v>1804</v>
      </c>
      <c r="U566" s="501" t="s">
        <v>102</v>
      </c>
      <c r="AA566" s="26"/>
      <c r="AB566" s="26"/>
      <c r="AC566" s="932"/>
      <c r="AD566" s="512"/>
    </row>
    <row r="567" spans="6:30" ht="10.5" customHeight="1">
      <c r="F567" s="332"/>
      <c r="G567" s="312"/>
      <c r="H567" s="312"/>
      <c r="I567" s="312"/>
      <c r="J567" s="312"/>
      <c r="K567" s="312"/>
      <c r="L567" s="312"/>
      <c r="M567" s="312"/>
      <c r="N567" s="312"/>
      <c r="O567" s="312"/>
      <c r="P567" s="554" t="s">
        <v>549</v>
      </c>
      <c r="Q567" s="292"/>
      <c r="R567" s="170"/>
      <c r="S567" s="389"/>
      <c r="T567" s="501" t="s">
        <v>1806</v>
      </c>
      <c r="U567" s="501" t="s">
        <v>2214</v>
      </c>
      <c r="AA567" s="26"/>
      <c r="AB567" s="26"/>
      <c r="AC567" s="931"/>
      <c r="AD567" s="512"/>
    </row>
    <row r="568" spans="6:30" ht="10.5" customHeight="1">
      <c r="F568" s="332"/>
      <c r="G568" s="312"/>
      <c r="H568" s="312"/>
      <c r="I568" s="312"/>
      <c r="J568" s="312"/>
      <c r="K568" s="312"/>
      <c r="L568" s="312"/>
      <c r="M568" s="312"/>
      <c r="N568" s="312"/>
      <c r="O568" s="312"/>
      <c r="P568" s="554" t="s">
        <v>551</v>
      </c>
      <c r="Q568" s="292"/>
      <c r="R568" s="170"/>
      <c r="S568" s="389"/>
      <c r="T568" s="501" t="s">
        <v>1809</v>
      </c>
      <c r="U568" s="501" t="s">
        <v>2214</v>
      </c>
      <c r="AA568" s="26"/>
      <c r="AB568" s="26"/>
      <c r="AC568" s="931"/>
      <c r="AD568" s="512"/>
    </row>
    <row r="569" spans="6:30" ht="10.5" customHeight="1">
      <c r="F569" s="332"/>
      <c r="G569" s="312"/>
      <c r="H569" s="312"/>
      <c r="I569" s="312"/>
      <c r="J569" s="312"/>
      <c r="K569" s="312"/>
      <c r="L569" s="312"/>
      <c r="M569" s="312"/>
      <c r="N569" s="312"/>
      <c r="O569" s="312"/>
      <c r="P569" s="554" t="s">
        <v>553</v>
      </c>
      <c r="Q569" s="292"/>
      <c r="R569" s="170"/>
      <c r="S569" s="389"/>
      <c r="T569" s="501" t="s">
        <v>1811</v>
      </c>
      <c r="U569" s="501" t="s">
        <v>308</v>
      </c>
      <c r="AA569" s="26"/>
      <c r="AB569" s="26"/>
      <c r="AC569" s="931"/>
      <c r="AD569" s="512"/>
    </row>
    <row r="570" spans="6:30" ht="10.5" customHeight="1">
      <c r="F570" s="332"/>
      <c r="G570" s="312"/>
      <c r="H570" s="312"/>
      <c r="I570" s="312"/>
      <c r="J570" s="312"/>
      <c r="K570" s="312"/>
      <c r="L570" s="312"/>
      <c r="M570" s="312"/>
      <c r="N570" s="312"/>
      <c r="O570" s="312"/>
      <c r="P570" s="554" t="s">
        <v>2027</v>
      </c>
      <c r="Q570" s="292"/>
      <c r="R570" s="170"/>
      <c r="S570" s="389"/>
      <c r="T570" s="501" t="s">
        <v>1813</v>
      </c>
      <c r="U570" s="501" t="s">
        <v>1647</v>
      </c>
      <c r="AA570" s="26"/>
      <c r="AB570" s="26"/>
      <c r="AC570" s="931"/>
      <c r="AD570" s="512"/>
    </row>
    <row r="571" spans="6:30" ht="10.5" customHeight="1">
      <c r="F571" s="332"/>
      <c r="G571" s="312"/>
      <c r="H571" s="312"/>
      <c r="I571" s="312"/>
      <c r="J571" s="312"/>
      <c r="K571" s="312"/>
      <c r="L571" s="312"/>
      <c r="M571" s="312"/>
      <c r="N571" s="312"/>
      <c r="O571" s="312"/>
      <c r="P571" s="554" t="s">
        <v>1431</v>
      </c>
      <c r="Q571" s="292"/>
      <c r="R571" s="170"/>
      <c r="S571" s="389"/>
      <c r="T571" s="501" t="s">
        <v>1815</v>
      </c>
      <c r="U571" s="501" t="s">
        <v>318</v>
      </c>
      <c r="AA571" s="26"/>
      <c r="AB571" s="26"/>
      <c r="AC571" s="931"/>
      <c r="AD571" s="512"/>
    </row>
    <row r="572" spans="6:30" ht="10.5" customHeight="1">
      <c r="F572" s="332"/>
      <c r="G572" s="312"/>
      <c r="H572" s="312"/>
      <c r="I572" s="312"/>
      <c r="J572" s="312"/>
      <c r="K572" s="312"/>
      <c r="L572" s="312"/>
      <c r="M572" s="312"/>
      <c r="N572" s="312"/>
      <c r="O572" s="312"/>
      <c r="P572" s="554" t="s">
        <v>1433</v>
      </c>
      <c r="Q572" s="292"/>
      <c r="R572" s="170"/>
      <c r="S572" s="389"/>
      <c r="T572" s="501" t="s">
        <v>2556</v>
      </c>
      <c r="U572" s="501" t="s">
        <v>104</v>
      </c>
      <c r="AA572" s="26"/>
      <c r="AB572" s="26"/>
      <c r="AC572" s="931"/>
      <c r="AD572" s="512"/>
    </row>
    <row r="573" spans="6:30" ht="10.5" customHeight="1">
      <c r="F573" s="332"/>
      <c r="G573" s="312"/>
      <c r="H573" s="312"/>
      <c r="I573" s="312"/>
      <c r="J573" s="312"/>
      <c r="K573" s="312"/>
      <c r="L573" s="312"/>
      <c r="M573" s="312"/>
      <c r="N573" s="312"/>
      <c r="O573" s="312"/>
      <c r="P573" s="554" t="s">
        <v>1434</v>
      </c>
      <c r="Q573" s="292"/>
      <c r="R573" s="170"/>
      <c r="S573" s="389"/>
      <c r="T573" s="501" t="s">
        <v>1920</v>
      </c>
      <c r="U573" s="501" t="s">
        <v>106</v>
      </c>
      <c r="AA573" s="26"/>
      <c r="AB573" s="26"/>
      <c r="AC573" s="931"/>
      <c r="AD573" s="512"/>
    </row>
    <row r="574" spans="6:30" ht="10.5" customHeight="1">
      <c r="F574" s="332"/>
      <c r="G574" s="312"/>
      <c r="H574" s="312"/>
      <c r="I574" s="312"/>
      <c r="J574" s="312"/>
      <c r="K574" s="312"/>
      <c r="L574" s="312"/>
      <c r="M574" s="312"/>
      <c r="N574" s="312"/>
      <c r="O574" s="312"/>
      <c r="P574" s="554" t="s">
        <v>1562</v>
      </c>
      <c r="Q574" s="292"/>
      <c r="R574" s="170"/>
      <c r="S574" s="389"/>
      <c r="T574" s="501" t="s">
        <v>1786</v>
      </c>
      <c r="U574" s="501" t="s">
        <v>1081</v>
      </c>
      <c r="AA574" s="26"/>
      <c r="AB574" s="26"/>
      <c r="AC574" s="931"/>
      <c r="AD574" s="512"/>
    </row>
    <row r="575" spans="6:30" ht="10.5" customHeight="1">
      <c r="F575" s="332"/>
      <c r="G575" s="312"/>
      <c r="H575" s="312"/>
      <c r="I575" s="312"/>
      <c r="J575" s="312"/>
      <c r="K575" s="312"/>
      <c r="L575" s="312"/>
      <c r="M575" s="312"/>
      <c r="N575" s="312"/>
      <c r="O575" s="312"/>
      <c r="P575" s="554" t="s">
        <v>2092</v>
      </c>
      <c r="Q575" s="292"/>
      <c r="R575" s="170"/>
      <c r="S575" s="389"/>
      <c r="T575" s="501" t="s">
        <v>2557</v>
      </c>
      <c r="U575" s="501" t="s">
        <v>1305</v>
      </c>
      <c r="AA575" s="26"/>
      <c r="AB575" s="26"/>
      <c r="AC575" s="931"/>
      <c r="AD575" s="512"/>
    </row>
    <row r="576" spans="6:30" ht="10.5" customHeight="1">
      <c r="F576" s="332"/>
      <c r="G576" s="312"/>
      <c r="H576" s="312"/>
      <c r="I576" s="312"/>
      <c r="J576" s="312"/>
      <c r="K576" s="312"/>
      <c r="L576" s="312"/>
      <c r="M576" s="312"/>
      <c r="N576" s="312"/>
      <c r="O576" s="312"/>
      <c r="P576" s="554" t="s">
        <v>2094</v>
      </c>
      <c r="Q576" s="292"/>
      <c r="R576" s="170"/>
      <c r="S576" s="389"/>
      <c r="T576" s="555" t="s">
        <v>1624</v>
      </c>
      <c r="U576" s="555" t="s">
        <v>2141</v>
      </c>
      <c r="AA576" s="26"/>
      <c r="AB576" s="26"/>
      <c r="AC576" s="931"/>
      <c r="AD576" s="512"/>
    </row>
    <row r="577" spans="6:30" ht="10.5" customHeight="1">
      <c r="F577" s="332"/>
      <c r="G577" s="312"/>
      <c r="H577" s="312"/>
      <c r="I577" s="312"/>
      <c r="J577" s="312"/>
      <c r="K577" s="312"/>
      <c r="L577" s="312"/>
      <c r="M577" s="312"/>
      <c r="N577" s="312"/>
      <c r="O577" s="312"/>
      <c r="P577" s="554" t="s">
        <v>2096</v>
      </c>
      <c r="Q577" s="292"/>
      <c r="R577" s="170"/>
      <c r="S577" s="389"/>
      <c r="T577" s="501" t="s">
        <v>819</v>
      </c>
      <c r="U577" s="501" t="s">
        <v>2148</v>
      </c>
      <c r="AA577" s="26"/>
      <c r="AB577" s="26"/>
      <c r="AC577" s="932"/>
      <c r="AD577" s="512"/>
    </row>
    <row r="578" spans="6:30" ht="10.5" customHeight="1">
      <c r="F578" s="332"/>
      <c r="G578" s="312"/>
      <c r="H578" s="312"/>
      <c r="I578" s="312"/>
      <c r="J578" s="312"/>
      <c r="K578" s="312"/>
      <c r="L578" s="312"/>
      <c r="M578" s="312"/>
      <c r="N578" s="312"/>
      <c r="O578" s="312"/>
      <c r="P578" s="554" t="s">
        <v>1424</v>
      </c>
      <c r="Q578" s="292"/>
      <c r="R578" s="170"/>
      <c r="S578" s="389"/>
      <c r="T578" s="501" t="s">
        <v>2243</v>
      </c>
      <c r="U578" s="501" t="s">
        <v>1649</v>
      </c>
      <c r="AA578" s="26"/>
      <c r="AB578" s="26"/>
      <c r="AC578" s="931"/>
      <c r="AD578" s="512"/>
    </row>
    <row r="579" spans="6:30" ht="10.5" customHeight="1">
      <c r="F579" s="332"/>
      <c r="G579" s="312"/>
      <c r="H579" s="312"/>
      <c r="I579" s="312"/>
      <c r="J579" s="312"/>
      <c r="K579" s="312"/>
      <c r="L579" s="312"/>
      <c r="M579" s="312"/>
      <c r="N579" s="312"/>
      <c r="O579" s="312"/>
      <c r="P579" s="554" t="s">
        <v>1426</v>
      </c>
      <c r="Q579" s="292"/>
      <c r="R579" s="170"/>
      <c r="S579" s="389"/>
      <c r="T579" s="501" t="s">
        <v>2245</v>
      </c>
      <c r="U579" s="501" t="s">
        <v>2145</v>
      </c>
      <c r="AA579" s="26"/>
      <c r="AB579" s="26"/>
      <c r="AC579" s="931"/>
      <c r="AD579" s="512"/>
    </row>
    <row r="580" spans="6:30" ht="10.5" customHeight="1">
      <c r="F580" s="332"/>
      <c r="G580" s="312"/>
      <c r="H580" s="312"/>
      <c r="I580" s="312"/>
      <c r="J580" s="312"/>
      <c r="K580" s="312"/>
      <c r="L580" s="312"/>
      <c r="M580" s="312"/>
      <c r="N580" s="312"/>
      <c r="O580" s="312"/>
      <c r="P580" s="554" t="s">
        <v>1536</v>
      </c>
      <c r="Q580" s="292"/>
      <c r="R580" s="170"/>
      <c r="S580" s="389"/>
      <c r="T580" s="501" t="s">
        <v>550</v>
      </c>
      <c r="U580" s="501" t="s">
        <v>2555</v>
      </c>
      <c r="AA580" s="26"/>
      <c r="AB580" s="26"/>
      <c r="AC580" s="931"/>
      <c r="AD580" s="512"/>
    </row>
    <row r="581" spans="6:30" ht="10.5" customHeight="1">
      <c r="F581" s="332"/>
      <c r="G581" s="312"/>
      <c r="H581" s="312"/>
      <c r="I581" s="312"/>
      <c r="J581" s="312"/>
      <c r="K581" s="312"/>
      <c r="L581" s="312"/>
      <c r="M581" s="312"/>
      <c r="N581" s="312"/>
      <c r="O581" s="312"/>
      <c r="P581" s="554" t="s">
        <v>1538</v>
      </c>
      <c r="Q581" s="292"/>
      <c r="R581" s="170"/>
      <c r="S581" s="389"/>
      <c r="T581" s="501" t="s">
        <v>552</v>
      </c>
      <c r="U581" s="501" t="s">
        <v>1191</v>
      </c>
      <c r="AA581" s="26"/>
      <c r="AB581" s="26"/>
      <c r="AC581" s="931"/>
      <c r="AD581" s="512"/>
    </row>
    <row r="582" spans="6:30" ht="10.5" customHeight="1">
      <c r="F582" s="332"/>
      <c r="G582" s="312"/>
      <c r="H582" s="312"/>
      <c r="I582" s="312"/>
      <c r="J582" s="312"/>
      <c r="K582" s="312"/>
      <c r="L582" s="312"/>
      <c r="M582" s="312"/>
      <c r="N582" s="312"/>
      <c r="O582" s="312"/>
      <c r="P582" s="554" t="s">
        <v>2025</v>
      </c>
      <c r="Q582" s="292"/>
      <c r="R582" s="170"/>
      <c r="S582" s="389"/>
      <c r="T582" s="501" t="s">
        <v>1050</v>
      </c>
      <c r="U582" s="501" t="s">
        <v>617</v>
      </c>
      <c r="AA582" s="26"/>
      <c r="AB582" s="26"/>
      <c r="AC582" s="931"/>
      <c r="AD582" s="512"/>
    </row>
    <row r="583" spans="6:30" ht="10.5" customHeight="1">
      <c r="F583" s="332"/>
      <c r="G583" s="312"/>
      <c r="H583" s="312"/>
      <c r="I583" s="312"/>
      <c r="J583" s="312"/>
      <c r="K583" s="312"/>
      <c r="L583" s="312"/>
      <c r="M583" s="312"/>
      <c r="N583" s="312"/>
      <c r="O583" s="312"/>
      <c r="P583" s="554" t="s">
        <v>1846</v>
      </c>
      <c r="Q583" s="292"/>
      <c r="R583" s="170"/>
      <c r="S583" s="389"/>
      <c r="T583" s="501" t="s">
        <v>554</v>
      </c>
      <c r="U583" s="501" t="s">
        <v>1646</v>
      </c>
      <c r="AA583" s="26"/>
      <c r="AB583" s="26"/>
      <c r="AC583" s="931"/>
      <c r="AD583" s="512"/>
    </row>
    <row r="584" spans="6:30" ht="10.5" customHeight="1">
      <c r="F584" s="332"/>
      <c r="G584" s="312"/>
      <c r="H584" s="312"/>
      <c r="I584" s="312"/>
      <c r="J584" s="312"/>
      <c r="K584" s="312"/>
      <c r="L584" s="312"/>
      <c r="M584" s="312"/>
      <c r="N584" s="312"/>
      <c r="O584" s="312"/>
      <c r="P584" s="554" t="s">
        <v>274</v>
      </c>
      <c r="Q584" s="292"/>
      <c r="R584" s="170"/>
      <c r="S584" s="389"/>
      <c r="T584" s="501" t="s">
        <v>1165</v>
      </c>
      <c r="U584" s="501" t="s">
        <v>1081</v>
      </c>
      <c r="AA584" s="26"/>
      <c r="AB584" s="26"/>
      <c r="AC584" s="931"/>
      <c r="AD584" s="512"/>
    </row>
    <row r="585" spans="6:30" ht="10.5" customHeight="1">
      <c r="F585" s="332"/>
      <c r="G585" s="312"/>
      <c r="H585" s="312"/>
      <c r="I585" s="312"/>
      <c r="J585" s="312"/>
      <c r="K585" s="312"/>
      <c r="L585" s="312"/>
      <c r="M585" s="312"/>
      <c r="N585" s="312"/>
      <c r="O585" s="312"/>
      <c r="P585" s="554" t="s">
        <v>1663</v>
      </c>
      <c r="Q585" s="292"/>
      <c r="R585" s="170"/>
      <c r="S585" s="389"/>
      <c r="T585" s="501" t="s">
        <v>1432</v>
      </c>
      <c r="U585" s="501" t="s">
        <v>1647</v>
      </c>
      <c r="AA585" s="26"/>
      <c r="AB585" s="26"/>
      <c r="AC585" s="931"/>
      <c r="AD585" s="512"/>
    </row>
    <row r="586" spans="6:30" ht="10.5" customHeight="1">
      <c r="F586" s="332"/>
      <c r="G586" s="312"/>
      <c r="H586" s="312"/>
      <c r="I586" s="312"/>
      <c r="J586" s="312"/>
      <c r="K586" s="312"/>
      <c r="L586" s="312"/>
      <c r="M586" s="312"/>
      <c r="N586" s="312"/>
      <c r="O586" s="312"/>
      <c r="P586" s="554" t="s">
        <v>258</v>
      </c>
      <c r="Q586" s="292"/>
      <c r="R586" s="170"/>
      <c r="S586" s="389"/>
      <c r="T586" s="501" t="s">
        <v>2812</v>
      </c>
      <c r="U586" s="501" t="s">
        <v>1304</v>
      </c>
      <c r="AA586" s="26"/>
      <c r="AB586" s="26"/>
      <c r="AC586" s="931"/>
      <c r="AD586" s="512"/>
    </row>
    <row r="587" spans="6:30" ht="10.5" customHeight="1">
      <c r="F587" s="332"/>
      <c r="G587" s="312"/>
      <c r="H587" s="312"/>
      <c r="I587" s="312"/>
      <c r="J587" s="312"/>
      <c r="K587" s="312"/>
      <c r="L587" s="312"/>
      <c r="M587" s="312"/>
      <c r="N587" s="312"/>
      <c r="O587" s="312"/>
      <c r="P587" s="554" t="s">
        <v>272</v>
      </c>
      <c r="Q587" s="292"/>
      <c r="R587" s="170"/>
      <c r="S587" s="389"/>
      <c r="T587" s="501" t="s">
        <v>1435</v>
      </c>
      <c r="U587" s="501" t="s">
        <v>646</v>
      </c>
      <c r="AA587" s="26"/>
      <c r="AB587" s="26"/>
      <c r="AC587" s="931"/>
      <c r="AD587" s="512"/>
    </row>
    <row r="588" spans="6:30" ht="10.5" customHeight="1">
      <c r="F588" s="332"/>
      <c r="G588" s="312"/>
      <c r="H588" s="312"/>
      <c r="I588" s="312"/>
      <c r="J588" s="312"/>
      <c r="K588" s="312"/>
      <c r="L588" s="312"/>
      <c r="M588" s="312"/>
      <c r="N588" s="312"/>
      <c r="O588" s="312"/>
      <c r="P588" s="554" t="s">
        <v>1169</v>
      </c>
      <c r="Q588" s="292"/>
      <c r="R588" s="170"/>
      <c r="S588" s="389"/>
      <c r="T588" s="501" t="s">
        <v>2813</v>
      </c>
      <c r="U588" s="501" t="s">
        <v>119</v>
      </c>
      <c r="AA588" s="26"/>
      <c r="AB588" s="26"/>
      <c r="AC588" s="931"/>
      <c r="AD588" s="512"/>
    </row>
    <row r="589" spans="6:30" ht="10.5" customHeight="1">
      <c r="F589" s="332"/>
      <c r="G589" s="312"/>
      <c r="H589" s="312"/>
      <c r="I589" s="312"/>
      <c r="J589" s="312"/>
      <c r="K589" s="312"/>
      <c r="L589" s="312"/>
      <c r="M589" s="312"/>
      <c r="N589" s="312"/>
      <c r="O589" s="312"/>
      <c r="P589" s="554" t="s">
        <v>732</v>
      </c>
      <c r="Q589" s="292"/>
      <c r="R589" s="170"/>
      <c r="S589" s="389"/>
      <c r="T589" s="501" t="s">
        <v>1563</v>
      </c>
      <c r="U589" s="501" t="s">
        <v>1755</v>
      </c>
      <c r="AA589" s="26"/>
      <c r="AB589" s="26"/>
      <c r="AC589" s="931"/>
      <c r="AD589" s="512"/>
    </row>
    <row r="590" spans="6:30" ht="10.5" customHeight="1">
      <c r="F590" s="332"/>
      <c r="G590" s="312"/>
      <c r="H590" s="312"/>
      <c r="I590" s="312"/>
      <c r="J590" s="312"/>
      <c r="K590" s="312"/>
      <c r="L590" s="312"/>
      <c r="M590" s="312"/>
      <c r="N590" s="312"/>
      <c r="O590" s="312"/>
      <c r="P590" s="554" t="s">
        <v>734</v>
      </c>
      <c r="Q590" s="292"/>
      <c r="R590" s="170"/>
      <c r="S590" s="389"/>
      <c r="T590" s="501" t="s">
        <v>2093</v>
      </c>
      <c r="U590" s="501" t="s">
        <v>1614</v>
      </c>
      <c r="AA590" s="26"/>
      <c r="AB590" s="26"/>
      <c r="AC590" s="931"/>
      <c r="AD590" s="512"/>
    </row>
    <row r="591" spans="6:30" ht="10.5" customHeight="1">
      <c r="F591" s="332"/>
      <c r="G591" s="312"/>
      <c r="H591" s="312"/>
      <c r="I591" s="312"/>
      <c r="J591" s="312"/>
      <c r="K591" s="312"/>
      <c r="L591" s="312"/>
      <c r="M591" s="312"/>
      <c r="N591" s="312"/>
      <c r="O591" s="312"/>
      <c r="P591" s="554" t="s">
        <v>1014</v>
      </c>
      <c r="Q591" s="292"/>
      <c r="R591" s="170"/>
      <c r="S591" s="389"/>
      <c r="T591" s="501" t="s">
        <v>2095</v>
      </c>
      <c r="U591" s="501" t="s">
        <v>1310</v>
      </c>
      <c r="AA591" s="26"/>
      <c r="AB591" s="26"/>
      <c r="AC591" s="931"/>
      <c r="AD591" s="512"/>
    </row>
    <row r="592" spans="6:30" ht="10.5" customHeight="1">
      <c r="F592" s="332"/>
      <c r="G592" s="312"/>
      <c r="H592" s="312"/>
      <c r="I592" s="312"/>
      <c r="J592" s="312"/>
      <c r="K592" s="312"/>
      <c r="L592" s="312"/>
      <c r="M592" s="312"/>
      <c r="N592" s="312"/>
      <c r="O592" s="312"/>
      <c r="P592" s="554" t="s">
        <v>1016</v>
      </c>
      <c r="Q592" s="292"/>
      <c r="R592" s="170"/>
      <c r="S592" s="389"/>
      <c r="T592" s="555" t="s">
        <v>1423</v>
      </c>
      <c r="U592" s="555" t="s">
        <v>320</v>
      </c>
      <c r="AA592" s="26"/>
      <c r="AB592" s="26"/>
      <c r="AC592" s="931"/>
      <c r="AD592" s="512"/>
    </row>
    <row r="593" spans="6:30" ht="10.5" customHeight="1">
      <c r="F593" s="332"/>
      <c r="G593" s="312"/>
      <c r="H593" s="312"/>
      <c r="I593" s="312"/>
      <c r="J593" s="312"/>
      <c r="K593" s="312"/>
      <c r="L593" s="312"/>
      <c r="M593" s="312"/>
      <c r="N593" s="312"/>
      <c r="O593" s="312"/>
      <c r="P593" s="554" t="s">
        <v>1790</v>
      </c>
      <c r="Q593" s="292"/>
      <c r="R593" s="170"/>
      <c r="S593" s="389"/>
      <c r="T593" s="501" t="s">
        <v>2814</v>
      </c>
      <c r="U593" s="501" t="s">
        <v>327</v>
      </c>
      <c r="AA593" s="26"/>
      <c r="AB593" s="26"/>
      <c r="AC593" s="932"/>
      <c r="AD593" s="512"/>
    </row>
    <row r="594" spans="6:30" ht="10.5" customHeight="1">
      <c r="F594" s="332"/>
      <c r="G594" s="312"/>
      <c r="H594" s="312"/>
      <c r="I594" s="312"/>
      <c r="J594" s="312"/>
      <c r="K594" s="312"/>
      <c r="L594" s="312"/>
      <c r="M594" s="312"/>
      <c r="N594" s="312"/>
      <c r="O594" s="312"/>
      <c r="P594" s="554" t="s">
        <v>1792</v>
      </c>
      <c r="Q594" s="292"/>
      <c r="R594" s="170"/>
      <c r="S594" s="389"/>
      <c r="T594" s="501" t="s">
        <v>1425</v>
      </c>
      <c r="U594" s="501" t="s">
        <v>317</v>
      </c>
      <c r="AA594" s="26"/>
      <c r="AB594" s="26"/>
      <c r="AC594" s="931"/>
      <c r="AD594" s="512"/>
    </row>
    <row r="595" spans="6:30" ht="10.5" customHeight="1">
      <c r="F595" s="332"/>
      <c r="G595" s="312"/>
      <c r="H595" s="312"/>
      <c r="I595" s="312"/>
      <c r="J595" s="312"/>
      <c r="K595" s="312"/>
      <c r="L595" s="312"/>
      <c r="M595" s="312"/>
      <c r="N595" s="312"/>
      <c r="O595" s="312"/>
      <c r="P595" s="554" t="s">
        <v>1793</v>
      </c>
      <c r="Q595" s="292"/>
      <c r="R595" s="170"/>
      <c r="S595" s="389"/>
      <c r="T595" s="555" t="s">
        <v>1051</v>
      </c>
      <c r="U595" s="555" t="s">
        <v>1649</v>
      </c>
      <c r="AA595" s="26"/>
      <c r="AB595" s="26"/>
      <c r="AC595" s="931"/>
      <c r="AD595" s="512"/>
    </row>
    <row r="596" spans="6:30" ht="10.5" customHeight="1">
      <c r="F596" s="332"/>
      <c r="G596" s="312"/>
      <c r="H596" s="312"/>
      <c r="I596" s="312"/>
      <c r="J596" s="312"/>
      <c r="K596" s="312"/>
      <c r="L596" s="312"/>
      <c r="M596" s="312"/>
      <c r="N596" s="312"/>
      <c r="O596" s="312"/>
      <c r="P596" s="554" t="s">
        <v>1122</v>
      </c>
      <c r="Q596" s="292"/>
      <c r="R596" s="170"/>
      <c r="S596" s="389"/>
      <c r="T596" s="501" t="s">
        <v>1427</v>
      </c>
      <c r="U596" s="501" t="s">
        <v>617</v>
      </c>
      <c r="AA596" s="26"/>
      <c r="AB596" s="26"/>
      <c r="AC596" s="932"/>
      <c r="AD596" s="512"/>
    </row>
    <row r="597" spans="6:30" ht="10.5" customHeight="1">
      <c r="F597" s="332"/>
      <c r="G597" s="312"/>
      <c r="H597" s="312"/>
      <c r="I597" s="312"/>
      <c r="J597" s="312"/>
      <c r="K597" s="312"/>
      <c r="L597" s="312"/>
      <c r="M597" s="312"/>
      <c r="N597" s="312"/>
      <c r="O597" s="312"/>
      <c r="P597" s="554" t="s">
        <v>397</v>
      </c>
      <c r="Q597" s="292"/>
      <c r="R597" s="170"/>
      <c r="S597" s="389"/>
      <c r="T597" s="501" t="s">
        <v>1537</v>
      </c>
      <c r="U597" s="501" t="s">
        <v>312</v>
      </c>
      <c r="AA597" s="26"/>
      <c r="AB597" s="26"/>
      <c r="AC597" s="931"/>
      <c r="AD597" s="512"/>
    </row>
    <row r="598" spans="6:30" ht="10.5" customHeight="1">
      <c r="F598" s="332"/>
      <c r="G598" s="312"/>
      <c r="H598" s="312"/>
      <c r="I598" s="312"/>
      <c r="J598" s="312"/>
      <c r="K598" s="312"/>
      <c r="L598" s="312"/>
      <c r="M598" s="312"/>
      <c r="N598" s="312"/>
      <c r="O598" s="312"/>
      <c r="P598" s="554" t="s">
        <v>1</v>
      </c>
      <c r="Q598" s="292"/>
      <c r="R598" s="170"/>
      <c r="S598" s="389"/>
      <c r="T598" s="501" t="s">
        <v>2026</v>
      </c>
      <c r="U598" s="501" t="s">
        <v>940</v>
      </c>
      <c r="AA598" s="26"/>
      <c r="AB598" s="26"/>
      <c r="AC598" s="931"/>
      <c r="AD598" s="512"/>
    </row>
    <row r="599" spans="6:30" ht="10.5" customHeight="1">
      <c r="F599" s="332"/>
      <c r="G599" s="312"/>
      <c r="H599" s="312"/>
      <c r="I599" s="312"/>
      <c r="J599" s="312"/>
      <c r="K599" s="312"/>
      <c r="L599" s="312"/>
      <c r="M599" s="312"/>
      <c r="N599" s="312"/>
      <c r="O599" s="312"/>
      <c r="P599" s="554" t="s">
        <v>3</v>
      </c>
      <c r="Q599" s="292"/>
      <c r="R599" s="170"/>
      <c r="S599" s="389"/>
      <c r="T599" s="555" t="s">
        <v>1847</v>
      </c>
      <c r="U599" s="555" t="s">
        <v>1925</v>
      </c>
      <c r="AA599" s="26"/>
      <c r="AB599" s="26"/>
      <c r="AC599" s="931"/>
      <c r="AD599" s="512"/>
    </row>
    <row r="600" spans="6:30" ht="10.5" customHeight="1">
      <c r="F600" s="332"/>
      <c r="G600" s="312"/>
      <c r="H600" s="312"/>
      <c r="I600" s="312"/>
      <c r="J600" s="312"/>
      <c r="K600" s="312"/>
      <c r="L600" s="312"/>
      <c r="M600" s="312"/>
      <c r="N600" s="312"/>
      <c r="O600" s="312"/>
      <c r="P600" s="554" t="s">
        <v>5</v>
      </c>
      <c r="Q600" s="292"/>
      <c r="R600" s="170"/>
      <c r="S600" s="389"/>
      <c r="T600" s="555" t="s">
        <v>275</v>
      </c>
      <c r="U600" s="555" t="s">
        <v>1925</v>
      </c>
      <c r="AA600" s="26"/>
      <c r="AB600" s="26"/>
      <c r="AC600" s="932"/>
      <c r="AD600" s="512"/>
    </row>
    <row r="601" spans="6:30" ht="10.5" customHeight="1">
      <c r="F601" s="332"/>
      <c r="G601" s="312"/>
      <c r="H601" s="312"/>
      <c r="I601" s="312"/>
      <c r="J601" s="312"/>
      <c r="K601" s="312"/>
      <c r="L601" s="312"/>
      <c r="M601" s="312"/>
      <c r="N601" s="312"/>
      <c r="O601" s="312"/>
      <c r="P601" s="554" t="s">
        <v>7</v>
      </c>
      <c r="Q601" s="292"/>
      <c r="R601" s="170"/>
      <c r="S601" s="389"/>
      <c r="T601" s="501" t="s">
        <v>1664</v>
      </c>
      <c r="U601" s="501" t="s">
        <v>2150</v>
      </c>
      <c r="AA601" s="26"/>
      <c r="AB601" s="26"/>
      <c r="AC601" s="932"/>
      <c r="AD601" s="512"/>
    </row>
    <row r="602" spans="6:30" ht="10.5" customHeight="1">
      <c r="F602" s="332"/>
      <c r="G602" s="312"/>
      <c r="H602" s="312"/>
      <c r="I602" s="312"/>
      <c r="J602" s="312"/>
      <c r="K602" s="312"/>
      <c r="L602" s="312"/>
      <c r="M602" s="312"/>
      <c r="N602" s="312"/>
      <c r="O602" s="312"/>
      <c r="P602" s="554" t="s">
        <v>2116</v>
      </c>
      <c r="Q602" s="292"/>
      <c r="R602" s="170"/>
      <c r="S602" s="389"/>
      <c r="T602" s="501" t="s">
        <v>259</v>
      </c>
      <c r="U602" s="501" t="s">
        <v>656</v>
      </c>
      <c r="AA602" s="26"/>
      <c r="AB602" s="26"/>
      <c r="AC602" s="931"/>
      <c r="AD602" s="512"/>
    </row>
    <row r="603" spans="6:30" ht="10.5" customHeight="1">
      <c r="F603" s="332"/>
      <c r="G603" s="312"/>
      <c r="H603" s="312"/>
      <c r="I603" s="312"/>
      <c r="J603" s="312"/>
      <c r="K603" s="312"/>
      <c r="L603" s="312"/>
      <c r="M603" s="312"/>
      <c r="N603" s="312"/>
      <c r="O603" s="312"/>
      <c r="P603" s="554" t="s">
        <v>2118</v>
      </c>
      <c r="Q603" s="292"/>
      <c r="R603" s="170"/>
      <c r="S603" s="389"/>
      <c r="T603" s="501" t="s">
        <v>1168</v>
      </c>
      <c r="U603" s="501" t="s">
        <v>157</v>
      </c>
      <c r="AA603" s="26"/>
      <c r="AB603" s="26"/>
      <c r="AC603" s="931"/>
      <c r="AD603" s="512"/>
    </row>
    <row r="604" spans="6:30" ht="10.5" customHeight="1">
      <c r="F604" s="332"/>
      <c r="G604" s="312"/>
      <c r="H604" s="312"/>
      <c r="I604" s="312"/>
      <c r="J604" s="312"/>
      <c r="K604" s="312"/>
      <c r="L604" s="312"/>
      <c r="M604" s="312"/>
      <c r="N604" s="312"/>
      <c r="O604" s="312"/>
      <c r="P604" s="554" t="s">
        <v>2120</v>
      </c>
      <c r="Q604" s="292"/>
      <c r="R604" s="170"/>
      <c r="S604" s="389"/>
      <c r="T604" s="501" t="s">
        <v>1170</v>
      </c>
      <c r="U604" s="501" t="s">
        <v>157</v>
      </c>
      <c r="AA604" s="26"/>
      <c r="AB604" s="26"/>
      <c r="AC604" s="931"/>
      <c r="AD604" s="512"/>
    </row>
    <row r="605" spans="6:30" ht="10.5" customHeight="1">
      <c r="F605" s="332"/>
      <c r="G605" s="312"/>
      <c r="H605" s="312"/>
      <c r="I605" s="312"/>
      <c r="J605" s="312"/>
      <c r="K605" s="312"/>
      <c r="L605" s="312"/>
      <c r="M605" s="312"/>
      <c r="N605" s="312"/>
      <c r="O605" s="312"/>
      <c r="P605" s="554" t="s">
        <v>2122</v>
      </c>
      <c r="Q605" s="292"/>
      <c r="R605" s="170"/>
      <c r="S605" s="389"/>
      <c r="T605" s="501" t="s">
        <v>733</v>
      </c>
      <c r="U605" s="501" t="s">
        <v>1312</v>
      </c>
      <c r="AA605" s="26"/>
      <c r="AB605" s="26"/>
      <c r="AC605" s="931"/>
      <c r="AD605" s="512"/>
    </row>
    <row r="606" spans="6:30" ht="10.5" customHeight="1">
      <c r="F606" s="332"/>
      <c r="G606" s="312"/>
      <c r="H606" s="312"/>
      <c r="I606" s="312"/>
      <c r="J606" s="312"/>
      <c r="K606" s="312"/>
      <c r="L606" s="312"/>
      <c r="M606" s="312"/>
      <c r="N606" s="312"/>
      <c r="O606" s="312"/>
      <c r="P606" s="554" t="s">
        <v>2124</v>
      </c>
      <c r="Q606" s="292"/>
      <c r="R606" s="170"/>
      <c r="S606" s="389"/>
      <c r="T606" s="501" t="s">
        <v>242</v>
      </c>
      <c r="U606" s="501" t="s">
        <v>2555</v>
      </c>
      <c r="AA606" s="26"/>
      <c r="AB606" s="26"/>
      <c r="AC606" s="931"/>
      <c r="AD606" s="512"/>
    </row>
    <row r="607" spans="6:30" ht="10.5" customHeight="1">
      <c r="F607" s="332"/>
      <c r="G607" s="312"/>
      <c r="H607" s="312"/>
      <c r="I607" s="312"/>
      <c r="J607" s="312"/>
      <c r="K607" s="312"/>
      <c r="L607" s="312"/>
      <c r="M607" s="312"/>
      <c r="N607" s="312"/>
      <c r="O607" s="312"/>
      <c r="P607" s="554" t="s">
        <v>86</v>
      </c>
      <c r="Q607" s="292"/>
      <c r="R607" s="170"/>
      <c r="S607" s="389"/>
      <c r="T607" s="501" t="s">
        <v>1015</v>
      </c>
      <c r="U607" s="501" t="s">
        <v>2370</v>
      </c>
      <c r="AA607" s="26"/>
      <c r="AB607" s="26"/>
      <c r="AC607" s="931"/>
      <c r="AD607" s="512"/>
    </row>
    <row r="608" spans="6:30" ht="10.5" customHeight="1">
      <c r="F608" s="332"/>
      <c r="G608" s="312"/>
      <c r="H608" s="312"/>
      <c r="I608" s="312"/>
      <c r="J608" s="312"/>
      <c r="K608" s="312"/>
      <c r="L608" s="312"/>
      <c r="M608" s="312"/>
      <c r="N608" s="312"/>
      <c r="O608" s="312"/>
      <c r="P608" s="554" t="s">
        <v>1991</v>
      </c>
      <c r="Q608" s="292"/>
      <c r="R608" s="170"/>
      <c r="S608" s="389"/>
      <c r="T608" s="501" t="s">
        <v>1729</v>
      </c>
      <c r="U608" s="501" t="s">
        <v>2454</v>
      </c>
      <c r="AA608" s="26"/>
      <c r="AB608" s="26"/>
      <c r="AC608" s="931"/>
      <c r="AD608" s="512"/>
    </row>
    <row r="609" spans="6:30" ht="10.5" customHeight="1">
      <c r="F609" s="332"/>
      <c r="G609" s="312"/>
      <c r="H609" s="312"/>
      <c r="I609" s="312"/>
      <c r="J609" s="312"/>
      <c r="K609" s="312"/>
      <c r="L609" s="312"/>
      <c r="M609" s="312"/>
      <c r="N609" s="312"/>
      <c r="O609" s="312"/>
      <c r="P609" s="554" t="s">
        <v>1496</v>
      </c>
      <c r="Q609" s="292"/>
      <c r="R609" s="170"/>
      <c r="S609" s="389"/>
      <c r="T609" s="501" t="s">
        <v>1791</v>
      </c>
      <c r="U609" s="501" t="s">
        <v>108</v>
      </c>
      <c r="AA609" s="26"/>
      <c r="AB609" s="26"/>
      <c r="AC609" s="931"/>
      <c r="AD609" s="512"/>
    </row>
    <row r="610" spans="6:30" ht="10.5" customHeight="1">
      <c r="F610" s="332"/>
      <c r="G610" s="312"/>
      <c r="H610" s="312"/>
      <c r="I610" s="312"/>
      <c r="J610" s="312"/>
      <c r="K610" s="312"/>
      <c r="L610" s="312"/>
      <c r="M610" s="312"/>
      <c r="N610" s="312"/>
      <c r="O610" s="312"/>
      <c r="P610" s="554" t="s">
        <v>1498</v>
      </c>
      <c r="Q610" s="292"/>
      <c r="R610" s="170"/>
      <c r="S610" s="389"/>
      <c r="T610" s="501" t="s">
        <v>1086</v>
      </c>
      <c r="U610" s="501" t="s">
        <v>720</v>
      </c>
      <c r="AA610" s="26"/>
      <c r="AB610" s="26"/>
      <c r="AC610" s="931"/>
      <c r="AD610" s="512"/>
    </row>
    <row r="611" spans="6:30" ht="10.5" customHeight="1">
      <c r="F611" s="332"/>
      <c r="G611" s="312"/>
      <c r="H611" s="312"/>
      <c r="I611" s="312"/>
      <c r="J611" s="312"/>
      <c r="K611" s="312"/>
      <c r="L611" s="312"/>
      <c r="M611" s="312"/>
      <c r="N611" s="312"/>
      <c r="O611" s="312"/>
      <c r="P611" s="554" t="s">
        <v>1500</v>
      </c>
      <c r="Q611" s="292"/>
      <c r="R611" s="170"/>
      <c r="S611" s="389"/>
      <c r="T611" s="501" t="s">
        <v>1052</v>
      </c>
      <c r="U611" s="501" t="s">
        <v>942</v>
      </c>
      <c r="AA611" s="26"/>
      <c r="AB611" s="26"/>
      <c r="AC611" s="931"/>
      <c r="AD611" s="512"/>
    </row>
    <row r="612" spans="6:30" ht="10.5" customHeight="1">
      <c r="F612" s="332"/>
      <c r="G612" s="312"/>
      <c r="H612" s="312"/>
      <c r="I612" s="312"/>
      <c r="J612" s="312"/>
      <c r="K612" s="312"/>
      <c r="L612" s="312"/>
      <c r="M612" s="312"/>
      <c r="N612" s="312"/>
      <c r="O612" s="312"/>
      <c r="P612" s="554" t="s">
        <v>60</v>
      </c>
      <c r="Q612" s="292"/>
      <c r="R612" s="170"/>
      <c r="S612" s="389"/>
      <c r="T612" s="501" t="s">
        <v>1090</v>
      </c>
      <c r="U612" s="501" t="s">
        <v>1309</v>
      </c>
      <c r="AA612" s="26"/>
      <c r="AB612" s="26"/>
      <c r="AC612" s="931"/>
      <c r="AD612" s="512"/>
    </row>
    <row r="613" spans="6:30" ht="10.5" customHeight="1">
      <c r="F613" s="332"/>
      <c r="G613" s="312"/>
      <c r="H613" s="312"/>
      <c r="I613" s="312"/>
      <c r="J613" s="312"/>
      <c r="K613" s="312"/>
      <c r="L613" s="312"/>
      <c r="M613" s="312"/>
      <c r="N613" s="312"/>
      <c r="O613" s="312"/>
      <c r="P613" s="554" t="s">
        <v>62</v>
      </c>
      <c r="Q613" s="292"/>
      <c r="R613" s="170"/>
      <c r="S613" s="389"/>
      <c r="T613" s="501" t="s">
        <v>398</v>
      </c>
      <c r="U613" s="501" t="s">
        <v>656</v>
      </c>
      <c r="AA613" s="26"/>
      <c r="AB613" s="26"/>
      <c r="AC613" s="931"/>
      <c r="AD613" s="512"/>
    </row>
    <row r="614" spans="6:30" ht="10.5" customHeight="1">
      <c r="F614" s="332"/>
      <c r="G614" s="312"/>
      <c r="H614" s="312"/>
      <c r="I614" s="312"/>
      <c r="J614" s="312"/>
      <c r="K614" s="312"/>
      <c r="L614" s="312"/>
      <c r="M614" s="312"/>
      <c r="N614" s="312"/>
      <c r="O614" s="312"/>
      <c r="P614" s="554" t="s">
        <v>64</v>
      </c>
      <c r="Q614" s="292"/>
      <c r="R614" s="170"/>
      <c r="S614" s="389"/>
      <c r="T614" s="501" t="s">
        <v>1053</v>
      </c>
      <c r="U614" s="501" t="s">
        <v>120</v>
      </c>
      <c r="AA614" s="26"/>
      <c r="AB614" s="26"/>
      <c r="AC614" s="931"/>
      <c r="AD614" s="512"/>
    </row>
    <row r="615" spans="6:30" ht="10.5" customHeight="1">
      <c r="F615" s="332"/>
      <c r="G615" s="312"/>
      <c r="H615" s="312"/>
      <c r="I615" s="312"/>
      <c r="J615" s="312"/>
      <c r="K615" s="312"/>
      <c r="L615" s="312"/>
      <c r="M615" s="312"/>
      <c r="N615" s="312"/>
      <c r="O615" s="312"/>
      <c r="P615" s="554" t="s">
        <v>66</v>
      </c>
      <c r="Q615" s="292"/>
      <c r="R615" s="170"/>
      <c r="S615" s="389"/>
      <c r="T615" s="501" t="s">
        <v>2</v>
      </c>
      <c r="U615" s="501" t="s">
        <v>1302</v>
      </c>
      <c r="AA615" s="26"/>
      <c r="AB615" s="26"/>
      <c r="AC615" s="931"/>
      <c r="AD615" s="512"/>
    </row>
    <row r="616" spans="6:30" ht="10.5" customHeight="1">
      <c r="F616" s="332"/>
      <c r="G616" s="312"/>
      <c r="H616" s="312"/>
      <c r="I616" s="312"/>
      <c r="J616" s="312"/>
      <c r="K616" s="312"/>
      <c r="L616" s="312"/>
      <c r="M616" s="312"/>
      <c r="N616" s="312"/>
      <c r="O616" s="312"/>
      <c r="P616" s="554" t="s">
        <v>68</v>
      </c>
      <c r="Q616" s="292"/>
      <c r="R616" s="170"/>
      <c r="S616" s="389"/>
      <c r="T616" s="501" t="s">
        <v>4</v>
      </c>
      <c r="U616" s="501" t="s">
        <v>2366</v>
      </c>
      <c r="AA616" s="26"/>
      <c r="AB616" s="26"/>
      <c r="AC616" s="931"/>
      <c r="AD616" s="512"/>
    </row>
    <row r="617" spans="6:30" ht="10.5" customHeight="1">
      <c r="F617" s="332"/>
      <c r="G617" s="312"/>
      <c r="H617" s="312"/>
      <c r="I617" s="312"/>
      <c r="J617" s="312"/>
      <c r="K617" s="312"/>
      <c r="L617" s="312"/>
      <c r="M617" s="312"/>
      <c r="N617" s="312"/>
      <c r="O617" s="312"/>
      <c r="P617" s="554" t="s">
        <v>764</v>
      </c>
      <c r="Q617" s="292"/>
      <c r="R617" s="170"/>
      <c r="S617" s="389"/>
      <c r="T617" s="501" t="s">
        <v>6</v>
      </c>
      <c r="U617" s="501" t="s">
        <v>1891</v>
      </c>
      <c r="AA617" s="26"/>
      <c r="AB617" s="26"/>
      <c r="AC617" s="931"/>
      <c r="AD617" s="512"/>
    </row>
    <row r="618" spans="6:30" ht="10.5" customHeight="1">
      <c r="F618" s="332"/>
      <c r="G618" s="312"/>
      <c r="H618" s="312"/>
      <c r="I618" s="312"/>
      <c r="J618" s="312"/>
      <c r="K618" s="312"/>
      <c r="L618" s="312"/>
      <c r="M618" s="312"/>
      <c r="N618" s="312"/>
      <c r="O618" s="312"/>
      <c r="P618" s="554" t="s">
        <v>716</v>
      </c>
      <c r="Q618" s="292"/>
      <c r="R618" s="170"/>
      <c r="S618" s="389"/>
      <c r="T618" s="555" t="s">
        <v>1054</v>
      </c>
      <c r="U618" s="555" t="s">
        <v>617</v>
      </c>
      <c r="AA618" s="26"/>
      <c r="AB618" s="26"/>
      <c r="AC618" s="931"/>
      <c r="AD618" s="512"/>
    </row>
    <row r="619" spans="6:30" ht="10.5" customHeight="1">
      <c r="F619" s="332"/>
      <c r="G619" s="312"/>
      <c r="H619" s="312"/>
      <c r="I619" s="312"/>
      <c r="J619" s="312"/>
      <c r="K619" s="312"/>
      <c r="L619" s="312"/>
      <c r="M619" s="312"/>
      <c r="N619" s="312"/>
      <c r="O619" s="312"/>
      <c r="P619" s="554" t="s">
        <v>718</v>
      </c>
      <c r="Q619" s="292"/>
      <c r="R619" s="170"/>
      <c r="S619" s="389"/>
      <c r="T619" s="501" t="s">
        <v>1055</v>
      </c>
      <c r="U619" s="501" t="s">
        <v>313</v>
      </c>
      <c r="AA619" s="26"/>
      <c r="AB619" s="26"/>
      <c r="AC619" s="932"/>
      <c r="AD619" s="512"/>
    </row>
    <row r="620" spans="6:30" ht="10.5" customHeight="1">
      <c r="F620" s="332"/>
      <c r="G620" s="312"/>
      <c r="H620" s="312"/>
      <c r="I620" s="312"/>
      <c r="J620" s="312"/>
      <c r="K620" s="312"/>
      <c r="L620" s="312"/>
      <c r="M620" s="312"/>
      <c r="N620" s="312"/>
      <c r="O620" s="312"/>
      <c r="P620" s="554" t="s">
        <v>1166</v>
      </c>
      <c r="Q620" s="292"/>
      <c r="R620" s="170"/>
      <c r="S620" s="389"/>
      <c r="T620" s="501" t="s">
        <v>2115</v>
      </c>
      <c r="U620" s="501" t="s">
        <v>1312</v>
      </c>
      <c r="AA620" s="26"/>
      <c r="AB620" s="26"/>
      <c r="AC620" s="931"/>
      <c r="AD620" s="512"/>
    </row>
    <row r="621" spans="6:30" ht="10.5" customHeight="1">
      <c r="F621" s="332"/>
      <c r="G621" s="312"/>
      <c r="H621" s="312"/>
      <c r="I621" s="312"/>
      <c r="J621" s="312"/>
      <c r="K621" s="312"/>
      <c r="L621" s="312"/>
      <c r="M621" s="312"/>
      <c r="N621" s="312"/>
      <c r="O621" s="312"/>
      <c r="P621" s="554" t="s">
        <v>1028</v>
      </c>
      <c r="Q621" s="292"/>
      <c r="R621" s="170"/>
      <c r="S621" s="389"/>
      <c r="T621" s="501" t="s">
        <v>2117</v>
      </c>
      <c r="U621" s="501" t="s">
        <v>2156</v>
      </c>
      <c r="AA621" s="26"/>
      <c r="AB621" s="26"/>
      <c r="AC621" s="931"/>
      <c r="AD621" s="512"/>
    </row>
    <row r="622" spans="6:30" ht="10.5" customHeight="1">
      <c r="F622" s="332"/>
      <c r="G622" s="312"/>
      <c r="H622" s="312"/>
      <c r="I622" s="312"/>
      <c r="J622" s="312"/>
      <c r="K622" s="312"/>
      <c r="L622" s="312"/>
      <c r="M622" s="312"/>
      <c r="N622" s="312"/>
      <c r="O622" s="312"/>
      <c r="P622" s="554" t="s">
        <v>1029</v>
      </c>
      <c r="Q622" s="292"/>
      <c r="R622" s="170"/>
      <c r="S622" s="389"/>
      <c r="T622" s="501" t="s">
        <v>2119</v>
      </c>
      <c r="U622" s="501" t="s">
        <v>173</v>
      </c>
      <c r="AA622" s="26"/>
      <c r="AB622" s="26"/>
      <c r="AC622" s="931"/>
      <c r="AD622" s="512"/>
    </row>
    <row r="623" spans="6:30" ht="10.5" customHeight="1">
      <c r="F623" s="332"/>
      <c r="G623" s="312"/>
      <c r="H623" s="312"/>
      <c r="I623" s="312"/>
      <c r="J623" s="312"/>
      <c r="K623" s="312"/>
      <c r="L623" s="312"/>
      <c r="M623" s="312"/>
      <c r="N623" s="312"/>
      <c r="O623" s="312"/>
      <c r="P623" s="554" t="s">
        <v>1031</v>
      </c>
      <c r="Q623" s="292"/>
      <c r="R623" s="170"/>
      <c r="S623" s="389"/>
      <c r="T623" s="501" t="s">
        <v>2121</v>
      </c>
      <c r="U623" s="501" t="s">
        <v>1437</v>
      </c>
      <c r="AA623" s="26"/>
      <c r="AB623" s="26"/>
      <c r="AC623" s="931"/>
      <c r="AD623" s="512"/>
    </row>
    <row r="624" spans="6:30" ht="10.5" customHeight="1">
      <c r="F624" s="332"/>
      <c r="G624" s="312"/>
      <c r="H624" s="312"/>
      <c r="I624" s="312"/>
      <c r="J624" s="312"/>
      <c r="K624" s="312"/>
      <c r="L624" s="312"/>
      <c r="M624" s="312"/>
      <c r="N624" s="312"/>
      <c r="O624" s="312"/>
      <c r="P624" s="554" t="s">
        <v>2236</v>
      </c>
      <c r="Q624" s="292"/>
      <c r="R624" s="170"/>
      <c r="S624" s="389"/>
      <c r="T624" s="501" t="s">
        <v>2123</v>
      </c>
      <c r="U624" s="501" t="s">
        <v>656</v>
      </c>
      <c r="AA624" s="26"/>
      <c r="AB624" s="26"/>
      <c r="AC624" s="931"/>
      <c r="AD624" s="512"/>
    </row>
    <row r="625" spans="6:30" ht="10.5" customHeight="1">
      <c r="F625" s="332"/>
      <c r="G625" s="312"/>
      <c r="H625" s="312"/>
      <c r="I625" s="312"/>
      <c r="J625" s="312"/>
      <c r="K625" s="312"/>
      <c r="L625" s="312"/>
      <c r="M625" s="312"/>
      <c r="N625" s="312"/>
      <c r="O625" s="312"/>
      <c r="P625" s="554" t="s">
        <v>2238</v>
      </c>
      <c r="Q625" s="292"/>
      <c r="R625" s="170"/>
      <c r="S625" s="389"/>
      <c r="T625" s="501" t="s">
        <v>87</v>
      </c>
      <c r="U625" s="501" t="s">
        <v>119</v>
      </c>
      <c r="AA625" s="26"/>
      <c r="AB625" s="26"/>
      <c r="AC625" s="931"/>
      <c r="AD625" s="512"/>
    </row>
    <row r="626" spans="6:30" ht="10.5" customHeight="1">
      <c r="F626" s="332"/>
      <c r="G626" s="312"/>
      <c r="H626" s="312"/>
      <c r="I626" s="312"/>
      <c r="J626" s="312"/>
      <c r="K626" s="312"/>
      <c r="L626" s="312"/>
      <c r="M626" s="312"/>
      <c r="N626" s="312"/>
      <c r="O626" s="312"/>
      <c r="P626" s="554" t="s">
        <v>1747</v>
      </c>
      <c r="Q626" s="292"/>
      <c r="R626" s="170"/>
      <c r="S626" s="389"/>
      <c r="T626" s="501" t="s">
        <v>1495</v>
      </c>
      <c r="U626" s="501" t="s">
        <v>2158</v>
      </c>
      <c r="AA626" s="26"/>
      <c r="AB626" s="26"/>
      <c r="AC626" s="931"/>
      <c r="AD626" s="512"/>
    </row>
    <row r="627" spans="6:30" ht="10.5" customHeight="1">
      <c r="F627" s="332"/>
      <c r="G627" s="312"/>
      <c r="H627" s="312"/>
      <c r="I627" s="312"/>
      <c r="J627" s="312"/>
      <c r="K627" s="312"/>
      <c r="L627" s="312"/>
      <c r="M627" s="312"/>
      <c r="N627" s="312"/>
      <c r="O627" s="312"/>
      <c r="P627" s="554" t="s">
        <v>2487</v>
      </c>
      <c r="Q627" s="292"/>
      <c r="R627" s="170"/>
      <c r="S627" s="389"/>
      <c r="T627" s="501" t="s">
        <v>1497</v>
      </c>
      <c r="U627" s="501" t="s">
        <v>197</v>
      </c>
      <c r="AA627" s="26"/>
      <c r="AB627" s="26"/>
      <c r="AC627" s="931"/>
      <c r="AD627" s="512"/>
    </row>
    <row r="628" spans="6:30" ht="10.5" customHeight="1">
      <c r="F628" s="332"/>
      <c r="G628" s="312"/>
      <c r="H628" s="312"/>
      <c r="I628" s="312"/>
      <c r="J628" s="312"/>
      <c r="K628" s="312"/>
      <c r="L628" s="312"/>
      <c r="M628" s="312"/>
      <c r="N628" s="312"/>
      <c r="O628" s="312"/>
      <c r="P628" s="554" t="s">
        <v>2136</v>
      </c>
      <c r="Q628" s="292"/>
      <c r="R628" s="170"/>
      <c r="S628" s="389"/>
      <c r="T628" s="555" t="s">
        <v>1499</v>
      </c>
      <c r="U628" s="555" t="s">
        <v>1440</v>
      </c>
      <c r="AA628" s="26"/>
      <c r="AB628" s="26"/>
      <c r="AC628" s="931"/>
      <c r="AD628" s="512"/>
    </row>
    <row r="629" spans="6:30" ht="10.5" customHeight="1">
      <c r="F629" s="332"/>
      <c r="G629" s="312"/>
      <c r="H629" s="312"/>
      <c r="I629" s="312"/>
      <c r="J629" s="312"/>
      <c r="K629" s="312"/>
      <c r="L629" s="312"/>
      <c r="M629" s="312"/>
      <c r="N629" s="312"/>
      <c r="O629" s="312"/>
      <c r="P629" s="554" t="s">
        <v>1593</v>
      </c>
      <c r="Q629" s="292"/>
      <c r="R629" s="170"/>
      <c r="S629" s="389"/>
      <c r="T629" s="501" t="s">
        <v>1501</v>
      </c>
      <c r="U629" s="501" t="s">
        <v>2148</v>
      </c>
      <c r="AA629" s="26"/>
      <c r="AB629" s="26"/>
      <c r="AC629" s="932"/>
      <c r="AD629" s="512"/>
    </row>
    <row r="630" spans="6:30" ht="10.5" customHeight="1">
      <c r="F630" s="332"/>
      <c r="G630" s="312"/>
      <c r="H630" s="312"/>
      <c r="I630" s="312"/>
      <c r="J630" s="312"/>
      <c r="K630" s="312"/>
      <c r="L630" s="312"/>
      <c r="M630" s="312"/>
      <c r="N630" s="312"/>
      <c r="O630" s="312"/>
      <c r="P630" s="554" t="s">
        <v>1594</v>
      </c>
      <c r="Q630" s="292"/>
      <c r="R630" s="170"/>
      <c r="S630" s="389"/>
      <c r="T630" s="501" t="s">
        <v>61</v>
      </c>
      <c r="U630" s="501" t="s">
        <v>1310</v>
      </c>
      <c r="AA630" s="26"/>
      <c r="AB630" s="26"/>
      <c r="AC630" s="931"/>
      <c r="AD630" s="512"/>
    </row>
    <row r="631" spans="6:30" ht="10.5" customHeight="1">
      <c r="F631" s="332"/>
      <c r="G631" s="312"/>
      <c r="H631" s="312"/>
      <c r="I631" s="312"/>
      <c r="J631" s="312"/>
      <c r="K631" s="312"/>
      <c r="L631" s="312"/>
      <c r="M631" s="312"/>
      <c r="N631" s="312"/>
      <c r="O631" s="312"/>
      <c r="P631" s="554" t="s">
        <v>1596</v>
      </c>
      <c r="Q631" s="292"/>
      <c r="R631" s="170"/>
      <c r="S631" s="389"/>
      <c r="T631" s="555" t="s">
        <v>63</v>
      </c>
      <c r="U631" s="555" t="s">
        <v>104</v>
      </c>
      <c r="AA631" s="26"/>
      <c r="AB631" s="26"/>
      <c r="AC631" s="931"/>
      <c r="AD631" s="512"/>
    </row>
    <row r="632" spans="6:30" ht="10.5" customHeight="1">
      <c r="F632" s="332"/>
      <c r="G632" s="312"/>
      <c r="H632" s="312"/>
      <c r="I632" s="312"/>
      <c r="J632" s="312"/>
      <c r="K632" s="312"/>
      <c r="L632" s="312"/>
      <c r="M632" s="312"/>
      <c r="N632" s="312"/>
      <c r="O632" s="312"/>
      <c r="P632" s="554" t="s">
        <v>1597</v>
      </c>
      <c r="Q632" s="292"/>
      <c r="R632" s="170"/>
      <c r="S632" s="389"/>
      <c r="T632" s="501" t="s">
        <v>65</v>
      </c>
      <c r="U632" s="501" t="s">
        <v>864</v>
      </c>
      <c r="AA632" s="26"/>
      <c r="AB632" s="26"/>
      <c r="AC632" s="932"/>
      <c r="AD632" s="512"/>
    </row>
    <row r="633" spans="6:30" ht="10.5" customHeight="1">
      <c r="F633" s="332"/>
      <c r="G633" s="312"/>
      <c r="H633" s="312"/>
      <c r="I633" s="312"/>
      <c r="J633" s="312"/>
      <c r="K633" s="312"/>
      <c r="L633" s="312"/>
      <c r="M633" s="312"/>
      <c r="N633" s="312"/>
      <c r="O633" s="312"/>
      <c r="P633" s="554" t="s">
        <v>1599</v>
      </c>
      <c r="Q633" s="292"/>
      <c r="R633" s="170"/>
      <c r="S633" s="389"/>
      <c r="T633" s="501" t="s">
        <v>67</v>
      </c>
      <c r="U633" s="501" t="s">
        <v>1502</v>
      </c>
      <c r="AA633" s="26"/>
      <c r="AB633" s="26"/>
      <c r="AC633" s="931"/>
      <c r="AD633" s="512"/>
    </row>
    <row r="634" spans="6:30" ht="10.5" customHeight="1">
      <c r="F634" s="332"/>
      <c r="G634" s="312"/>
      <c r="H634" s="312"/>
      <c r="I634" s="312"/>
      <c r="J634" s="312"/>
      <c r="K634" s="312"/>
      <c r="L634" s="312"/>
      <c r="M634" s="312"/>
      <c r="N634" s="312"/>
      <c r="O634" s="312"/>
      <c r="P634" s="554" t="s">
        <v>1600</v>
      </c>
      <c r="Q634" s="292"/>
      <c r="R634" s="170"/>
      <c r="S634" s="389"/>
      <c r="T634" s="501" t="s">
        <v>765</v>
      </c>
      <c r="U634" s="501" t="s">
        <v>2451</v>
      </c>
      <c r="AA634" s="26"/>
      <c r="AB634" s="26"/>
      <c r="AC634" s="931"/>
      <c r="AD634" s="512"/>
    </row>
    <row r="635" spans="6:30" ht="10.5" customHeight="1">
      <c r="F635" s="332"/>
      <c r="G635" s="312"/>
      <c r="H635" s="312"/>
      <c r="I635" s="312"/>
      <c r="J635" s="312"/>
      <c r="K635" s="312"/>
      <c r="L635" s="312"/>
      <c r="M635" s="312"/>
      <c r="N635" s="312"/>
      <c r="O635" s="312"/>
      <c r="P635" s="554" t="s">
        <v>1602</v>
      </c>
      <c r="Q635" s="292"/>
      <c r="R635" s="170"/>
      <c r="S635" s="389"/>
      <c r="T635" s="501" t="s">
        <v>717</v>
      </c>
      <c r="U635" s="501" t="s">
        <v>2457</v>
      </c>
      <c r="AA635" s="26"/>
      <c r="AB635" s="26"/>
      <c r="AC635" s="931"/>
      <c r="AD635" s="512"/>
    </row>
    <row r="636" spans="6:30" ht="10.5" customHeight="1">
      <c r="F636" s="332"/>
      <c r="G636" s="312"/>
      <c r="H636" s="312"/>
      <c r="I636" s="312"/>
      <c r="J636" s="312"/>
      <c r="K636" s="312"/>
      <c r="L636" s="312"/>
      <c r="M636" s="312"/>
      <c r="N636" s="312"/>
      <c r="O636" s="312"/>
      <c r="P636" s="554" t="s">
        <v>2386</v>
      </c>
      <c r="Q636" s="292"/>
      <c r="R636" s="170"/>
      <c r="S636" s="389"/>
      <c r="T636" s="501" t="s">
        <v>928</v>
      </c>
      <c r="U636" s="501" t="s">
        <v>2499</v>
      </c>
      <c r="AA636" s="26"/>
      <c r="AB636" s="26"/>
      <c r="AC636" s="931"/>
      <c r="AD636" s="512"/>
    </row>
    <row r="637" spans="6:30" ht="10.5" customHeight="1">
      <c r="F637" s="332"/>
      <c r="G637" s="312"/>
      <c r="H637" s="312"/>
      <c r="I637" s="312"/>
      <c r="J637" s="312"/>
      <c r="K637" s="312"/>
      <c r="L637" s="312"/>
      <c r="M637" s="312"/>
      <c r="N637" s="312"/>
      <c r="O637" s="312"/>
      <c r="P637" s="554" t="s">
        <v>165</v>
      </c>
      <c r="Q637" s="292"/>
      <c r="R637" s="170"/>
      <c r="S637" s="389"/>
      <c r="T637" s="501" t="s">
        <v>1056</v>
      </c>
      <c r="U637" s="501" t="s">
        <v>317</v>
      </c>
      <c r="AA637" s="26"/>
      <c r="AB637" s="26"/>
      <c r="AC637" s="931"/>
      <c r="AD637" s="512"/>
    </row>
    <row r="638" spans="6:30" ht="10.5" customHeight="1">
      <c r="F638" s="332"/>
      <c r="G638" s="312"/>
      <c r="H638" s="312"/>
      <c r="I638" s="312"/>
      <c r="J638" s="312"/>
      <c r="K638" s="312"/>
      <c r="L638" s="312"/>
      <c r="M638" s="312"/>
      <c r="N638" s="312"/>
      <c r="O638" s="312"/>
      <c r="P638" s="554" t="s">
        <v>975</v>
      </c>
      <c r="Q638" s="292"/>
      <c r="R638" s="170"/>
      <c r="S638" s="389"/>
      <c r="T638" s="501" t="s">
        <v>1167</v>
      </c>
      <c r="U638" s="501" t="s">
        <v>1925</v>
      </c>
      <c r="AA638" s="26"/>
      <c r="AB638" s="26"/>
      <c r="AC638" s="931"/>
      <c r="AD638" s="512"/>
    </row>
    <row r="639" spans="6:30" ht="10.5" customHeight="1">
      <c r="F639" s="332"/>
      <c r="G639" s="312"/>
      <c r="H639" s="312"/>
      <c r="I639" s="312"/>
      <c r="J639" s="312"/>
      <c r="K639" s="312"/>
      <c r="L639" s="312"/>
      <c r="M639" s="312"/>
      <c r="N639" s="312"/>
      <c r="O639" s="312"/>
      <c r="P639" s="554" t="s">
        <v>976</v>
      </c>
      <c r="Q639" s="292"/>
      <c r="R639" s="170"/>
      <c r="S639" s="389"/>
      <c r="T639" s="555" t="s">
        <v>2815</v>
      </c>
      <c r="U639" s="555" t="s">
        <v>1757</v>
      </c>
      <c r="AA639" s="26"/>
      <c r="AB639" s="26"/>
      <c r="AC639" s="931"/>
      <c r="AD639" s="512"/>
    </row>
    <row r="640" spans="6:30" ht="10.5" customHeight="1">
      <c r="F640" s="332"/>
      <c r="G640" s="312"/>
      <c r="H640" s="312"/>
      <c r="I640" s="312"/>
      <c r="J640" s="312"/>
      <c r="K640" s="312"/>
      <c r="L640" s="312"/>
      <c r="M640" s="312"/>
      <c r="N640" s="312"/>
      <c r="O640" s="312"/>
      <c r="P640" s="554" t="s">
        <v>978</v>
      </c>
      <c r="Q640" s="292"/>
      <c r="R640" s="170"/>
      <c r="S640" s="389"/>
      <c r="T640" s="501" t="s">
        <v>1030</v>
      </c>
      <c r="U640" s="501" t="s">
        <v>1084</v>
      </c>
      <c r="AA640" s="26"/>
      <c r="AB640" s="26"/>
      <c r="AC640" s="932"/>
      <c r="AD640" s="512"/>
    </row>
    <row r="641" spans="6:30" ht="10.5" customHeight="1">
      <c r="F641" s="332"/>
      <c r="G641" s="312"/>
      <c r="H641" s="312"/>
      <c r="I641" s="312"/>
      <c r="J641" s="312"/>
      <c r="K641" s="312"/>
      <c r="L641" s="312"/>
      <c r="M641" s="312"/>
      <c r="N641" s="312"/>
      <c r="O641" s="312"/>
      <c r="P641" s="554" t="s">
        <v>2350</v>
      </c>
      <c r="Q641" s="292"/>
      <c r="R641" s="170"/>
      <c r="S641" s="389"/>
      <c r="T641" s="501" t="s">
        <v>2237</v>
      </c>
      <c r="U641" s="501" t="s">
        <v>2141</v>
      </c>
      <c r="AA641" s="26"/>
      <c r="AB641" s="26"/>
      <c r="AC641" s="931"/>
      <c r="AD641" s="512"/>
    </row>
    <row r="642" spans="6:30" ht="10.5" customHeight="1">
      <c r="F642" s="332"/>
      <c r="G642" s="312"/>
      <c r="H642" s="312"/>
      <c r="I642" s="312"/>
      <c r="J642" s="312"/>
      <c r="K642" s="312"/>
      <c r="L642" s="312"/>
      <c r="M642" s="312"/>
      <c r="N642" s="312"/>
      <c r="O642" s="312"/>
      <c r="P642" s="554" t="s">
        <v>2492</v>
      </c>
      <c r="Q642" s="292"/>
      <c r="R642" s="170"/>
      <c r="S642" s="389"/>
      <c r="T642" s="501" t="s">
        <v>2239</v>
      </c>
      <c r="U642" s="501" t="s">
        <v>647</v>
      </c>
      <c r="AA642" s="26"/>
      <c r="AB642" s="26"/>
      <c r="AC642" s="931"/>
      <c r="AD642" s="512"/>
    </row>
    <row r="643" spans="6:30" ht="10.5" customHeight="1">
      <c r="F643" s="332"/>
      <c r="G643" s="312"/>
      <c r="H643" s="312"/>
      <c r="I643" s="312"/>
      <c r="J643" s="312"/>
      <c r="K643" s="312"/>
      <c r="L643" s="312"/>
      <c r="M643" s="312"/>
      <c r="N643" s="312"/>
      <c r="O643" s="312"/>
      <c r="P643" s="554" t="s">
        <v>1975</v>
      </c>
      <c r="Q643" s="292"/>
      <c r="R643" s="170"/>
      <c r="S643" s="389"/>
      <c r="T643" s="501" t="s">
        <v>1748</v>
      </c>
      <c r="U643" s="501" t="s">
        <v>722</v>
      </c>
      <c r="AA643" s="26"/>
      <c r="AB643" s="26"/>
      <c r="AC643" s="931"/>
      <c r="AD643" s="512"/>
    </row>
    <row r="644" spans="6:30" ht="10.5" customHeight="1">
      <c r="F644" s="332"/>
      <c r="G644" s="312"/>
      <c r="H644" s="312"/>
      <c r="I644" s="312"/>
      <c r="J644" s="312"/>
      <c r="K644" s="312"/>
      <c r="L644" s="312"/>
      <c r="M644" s="312"/>
      <c r="N644" s="312"/>
      <c r="O644" s="312"/>
      <c r="P644" s="554" t="s">
        <v>931</v>
      </c>
      <c r="Q644" s="292"/>
      <c r="R644" s="170"/>
      <c r="S644" s="389"/>
      <c r="T644" s="555" t="s">
        <v>2488</v>
      </c>
      <c r="U644" s="555" t="s">
        <v>1981</v>
      </c>
      <c r="AA644" s="26"/>
      <c r="AB644" s="26"/>
      <c r="AC644" s="931"/>
      <c r="AD644" s="512"/>
    </row>
    <row r="645" spans="6:30" ht="10.5" customHeight="1">
      <c r="F645" s="332"/>
      <c r="G645" s="312"/>
      <c r="H645" s="312"/>
      <c r="I645" s="312"/>
      <c r="J645" s="312"/>
      <c r="K645" s="312"/>
      <c r="L645" s="312"/>
      <c r="M645" s="312"/>
      <c r="N645" s="312"/>
      <c r="O645" s="312"/>
      <c r="P645" s="554" t="s">
        <v>760</v>
      </c>
      <c r="Q645" s="292"/>
      <c r="R645" s="170"/>
      <c r="S645" s="389"/>
      <c r="T645" s="501" t="s">
        <v>2137</v>
      </c>
      <c r="U645" s="501" t="s">
        <v>1191</v>
      </c>
      <c r="AA645" s="26"/>
      <c r="AB645" s="26"/>
      <c r="AC645" s="932"/>
      <c r="AD645" s="512"/>
    </row>
    <row r="646" spans="6:30" ht="10.5" customHeight="1">
      <c r="F646" s="332"/>
      <c r="G646" s="312"/>
      <c r="H646" s="312"/>
      <c r="I646" s="312"/>
      <c r="J646" s="312"/>
      <c r="K646" s="312"/>
      <c r="L646" s="312"/>
      <c r="M646" s="312"/>
      <c r="N646" s="312"/>
      <c r="O646" s="312"/>
      <c r="P646" s="554" t="s">
        <v>1451</v>
      </c>
      <c r="Q646" s="292"/>
      <c r="R646" s="170"/>
      <c r="S646" s="389"/>
      <c r="T646" s="501" t="s">
        <v>1595</v>
      </c>
      <c r="U646" s="501" t="s">
        <v>649</v>
      </c>
      <c r="AA646" s="26"/>
      <c r="AB646" s="26"/>
      <c r="AC646" s="931"/>
      <c r="AD646" s="512"/>
    </row>
    <row r="647" spans="6:30" ht="10.5" customHeight="1">
      <c r="F647" s="332"/>
      <c r="G647" s="312"/>
      <c r="H647" s="312"/>
      <c r="I647" s="312"/>
      <c r="J647" s="312"/>
      <c r="K647" s="312"/>
      <c r="L647" s="312"/>
      <c r="M647" s="312"/>
      <c r="N647" s="312"/>
      <c r="O647" s="312"/>
      <c r="P647" s="554" t="s">
        <v>1453</v>
      </c>
      <c r="Q647" s="292"/>
      <c r="R647" s="170"/>
      <c r="S647" s="389"/>
      <c r="T647" s="501" t="s">
        <v>820</v>
      </c>
      <c r="U647" s="501" t="s">
        <v>1298</v>
      </c>
      <c r="AA647" s="26"/>
      <c r="AB647" s="26"/>
      <c r="AC647" s="931"/>
      <c r="AD647" s="512"/>
    </row>
    <row r="648" spans="6:30" ht="10.5" customHeight="1">
      <c r="F648" s="332"/>
      <c r="G648" s="312"/>
      <c r="H648" s="312"/>
      <c r="I648" s="312"/>
      <c r="J648" s="312"/>
      <c r="K648" s="312"/>
      <c r="L648" s="312"/>
      <c r="M648" s="312"/>
      <c r="N648" s="312"/>
      <c r="O648" s="312"/>
      <c r="P648" s="554" t="s">
        <v>1455</v>
      </c>
      <c r="Q648" s="292"/>
      <c r="R648" s="170"/>
      <c r="S648" s="389"/>
      <c r="T648" s="501" t="s">
        <v>1598</v>
      </c>
      <c r="U648" s="501" t="s">
        <v>2550</v>
      </c>
      <c r="AA648" s="26"/>
      <c r="AB648" s="26"/>
      <c r="AC648" s="931"/>
      <c r="AD648" s="512"/>
    </row>
    <row r="649" spans="6:30" ht="10.5" customHeight="1">
      <c r="F649" s="332"/>
      <c r="G649" s="312"/>
      <c r="H649" s="312"/>
      <c r="I649" s="312"/>
      <c r="J649" s="312"/>
      <c r="K649" s="312"/>
      <c r="L649" s="312"/>
      <c r="M649" s="312"/>
      <c r="N649" s="312"/>
      <c r="O649" s="312"/>
      <c r="P649" s="554" t="s">
        <v>1290</v>
      </c>
      <c r="Q649" s="292"/>
      <c r="R649" s="170"/>
      <c r="S649" s="389"/>
      <c r="T649" s="501" t="s">
        <v>1601</v>
      </c>
      <c r="U649" s="501" t="s">
        <v>1614</v>
      </c>
      <c r="AA649" s="26"/>
      <c r="AB649" s="26"/>
      <c r="AC649" s="931"/>
      <c r="AD649" s="512"/>
    </row>
    <row r="650" spans="6:30" ht="10.5" customHeight="1">
      <c r="F650" s="332"/>
      <c r="G650" s="312"/>
      <c r="H650" s="312"/>
      <c r="I650" s="312"/>
      <c r="J650" s="312"/>
      <c r="K650" s="312"/>
      <c r="L650" s="312"/>
      <c r="M650" s="312"/>
      <c r="N650" s="312"/>
      <c r="O650" s="312"/>
      <c r="P650" s="554" t="s">
        <v>1292</v>
      </c>
      <c r="Q650" s="292"/>
      <c r="R650" s="170"/>
      <c r="S650" s="389"/>
      <c r="T650" s="555" t="s">
        <v>1058</v>
      </c>
      <c r="U650" s="555" t="s">
        <v>1502</v>
      </c>
      <c r="AA650" s="26"/>
      <c r="AB650" s="26"/>
      <c r="AC650" s="931"/>
      <c r="AD650" s="512"/>
    </row>
    <row r="651" spans="6:30" ht="10.5" customHeight="1">
      <c r="F651" s="332"/>
      <c r="G651" s="312"/>
      <c r="H651" s="312"/>
      <c r="I651" s="312"/>
      <c r="J651" s="312"/>
      <c r="K651" s="312"/>
      <c r="L651" s="312"/>
      <c r="M651" s="312"/>
      <c r="N651" s="312"/>
      <c r="O651" s="312"/>
      <c r="P651" s="554" t="s">
        <v>1965</v>
      </c>
      <c r="Q651" s="292"/>
      <c r="R651" s="170"/>
      <c r="S651" s="389"/>
      <c r="T651" s="501" t="s">
        <v>2385</v>
      </c>
      <c r="U651" s="501" t="s">
        <v>104</v>
      </c>
      <c r="AA651" s="26"/>
      <c r="AB651" s="26"/>
      <c r="AC651" s="932"/>
      <c r="AD651" s="512"/>
    </row>
    <row r="652" spans="6:30" ht="10.5" customHeight="1">
      <c r="F652" s="332"/>
      <c r="G652" s="312"/>
      <c r="H652" s="312"/>
      <c r="I652" s="312"/>
      <c r="J652" s="312"/>
      <c r="K652" s="312"/>
      <c r="L652" s="312"/>
      <c r="M652" s="312"/>
      <c r="N652" s="312"/>
      <c r="O652" s="312"/>
      <c r="P652" s="554" t="s">
        <v>723</v>
      </c>
      <c r="Q652" s="292"/>
      <c r="R652" s="170"/>
      <c r="S652" s="389"/>
      <c r="T652" s="501" t="s">
        <v>803</v>
      </c>
      <c r="U652" s="501" t="s">
        <v>1191</v>
      </c>
      <c r="AA652" s="26"/>
      <c r="AB652" s="26"/>
      <c r="AC652" s="931"/>
      <c r="AD652" s="512"/>
    </row>
    <row r="653" spans="6:30" ht="10.5" customHeight="1">
      <c r="F653" s="332"/>
      <c r="G653" s="312"/>
      <c r="H653" s="312"/>
      <c r="I653" s="312"/>
      <c r="J653" s="312"/>
      <c r="K653" s="312"/>
      <c r="L653" s="312"/>
      <c r="M653" s="312"/>
      <c r="N653" s="312"/>
      <c r="O653" s="312"/>
      <c r="P653" s="554" t="s">
        <v>1251</v>
      </c>
      <c r="Q653" s="292"/>
      <c r="R653" s="170"/>
      <c r="S653" s="389"/>
      <c r="T653" s="501" t="s">
        <v>1288</v>
      </c>
      <c r="U653" s="501" t="s">
        <v>1883</v>
      </c>
      <c r="AA653" s="26"/>
      <c r="AB653" s="26"/>
      <c r="AC653" s="931"/>
      <c r="AD653" s="512"/>
    </row>
    <row r="654" spans="6:30" ht="10.5" customHeight="1">
      <c r="F654" s="332"/>
      <c r="G654" s="312"/>
      <c r="H654" s="312"/>
      <c r="I654" s="312"/>
      <c r="J654" s="312"/>
      <c r="K654" s="312"/>
      <c r="L654" s="312"/>
      <c r="M654" s="312"/>
      <c r="N654" s="312"/>
      <c r="O654" s="312"/>
      <c r="P654" s="554" t="s">
        <v>1856</v>
      </c>
      <c r="Q654" s="292"/>
      <c r="R654" s="170"/>
      <c r="S654" s="389"/>
      <c r="T654" s="501" t="s">
        <v>166</v>
      </c>
      <c r="U654" s="501" t="s">
        <v>1314</v>
      </c>
      <c r="AA654" s="26"/>
      <c r="AB654" s="26"/>
      <c r="AC654" s="931"/>
      <c r="AD654" s="512"/>
    </row>
    <row r="655" spans="6:30" ht="10.5" customHeight="1">
      <c r="F655" s="332"/>
      <c r="G655" s="312"/>
      <c r="H655" s="312"/>
      <c r="I655" s="312"/>
      <c r="J655" s="312"/>
      <c r="K655" s="312"/>
      <c r="L655" s="312"/>
      <c r="M655" s="312"/>
      <c r="N655" s="312"/>
      <c r="O655" s="312"/>
      <c r="P655" s="554" t="s">
        <v>1857</v>
      </c>
      <c r="Q655" s="292"/>
      <c r="R655" s="170"/>
      <c r="S655" s="389"/>
      <c r="T655" s="501" t="s">
        <v>977</v>
      </c>
      <c r="U655" s="501" t="s">
        <v>1646</v>
      </c>
      <c r="AA655" s="26"/>
      <c r="AB655" s="26"/>
      <c r="AC655" s="931"/>
      <c r="AD655" s="512"/>
    </row>
    <row r="656" spans="6:30" ht="10.5" customHeight="1">
      <c r="F656" s="332"/>
      <c r="G656" s="312"/>
      <c r="H656" s="312"/>
      <c r="I656" s="312"/>
      <c r="J656" s="312"/>
      <c r="K656" s="312"/>
      <c r="L656" s="312"/>
      <c r="M656" s="312"/>
      <c r="N656" s="312"/>
      <c r="O656" s="312"/>
      <c r="P656" s="554" t="s">
        <v>1859</v>
      </c>
      <c r="Q656" s="292"/>
      <c r="R656" s="170"/>
      <c r="S656" s="389"/>
      <c r="T656" s="501" t="s">
        <v>2816</v>
      </c>
      <c r="U656" s="501" t="s">
        <v>323</v>
      </c>
      <c r="AA656" s="26"/>
      <c r="AB656" s="26"/>
      <c r="AC656" s="931"/>
      <c r="AD656" s="512"/>
    </row>
    <row r="657" spans="6:30" ht="10.5" customHeight="1">
      <c r="F657" s="332"/>
      <c r="G657" s="312"/>
      <c r="H657" s="312"/>
      <c r="I657" s="312"/>
      <c r="J657" s="312"/>
      <c r="K657" s="312"/>
      <c r="L657" s="312"/>
      <c r="M657" s="312"/>
      <c r="N657" s="312"/>
      <c r="O657" s="312"/>
      <c r="P657" s="554" t="s">
        <v>1861</v>
      </c>
      <c r="Q657" s="292"/>
      <c r="R657" s="170"/>
      <c r="S657" s="389"/>
      <c r="T657" s="501" t="s">
        <v>2817</v>
      </c>
      <c r="U657" s="501" t="s">
        <v>112</v>
      </c>
      <c r="AA657" s="26"/>
      <c r="AB657" s="26"/>
      <c r="AC657" s="931"/>
      <c r="AD657" s="512"/>
    </row>
    <row r="658" spans="6:30" ht="10.5" customHeight="1">
      <c r="F658" s="332"/>
      <c r="G658" s="312"/>
      <c r="H658" s="312"/>
      <c r="I658" s="312"/>
      <c r="J658" s="312"/>
      <c r="K658" s="312"/>
      <c r="L658" s="312"/>
      <c r="M658" s="312"/>
      <c r="N658" s="312"/>
      <c r="O658" s="312"/>
      <c r="P658" s="554" t="s">
        <v>1863</v>
      </c>
      <c r="Q658" s="292"/>
      <c r="R658" s="170"/>
      <c r="S658" s="389"/>
      <c r="T658" s="501" t="s">
        <v>1311</v>
      </c>
      <c r="U658" s="501" t="s">
        <v>157</v>
      </c>
      <c r="AA658" s="26"/>
      <c r="AB658" s="26"/>
      <c r="AC658" s="931"/>
      <c r="AD658" s="512"/>
    </row>
    <row r="659" spans="6:30" ht="10.5" customHeight="1">
      <c r="F659" s="332"/>
      <c r="G659" s="312"/>
      <c r="H659" s="312"/>
      <c r="I659" s="312"/>
      <c r="J659" s="312"/>
      <c r="K659" s="312"/>
      <c r="L659" s="312"/>
      <c r="M659" s="312"/>
      <c r="N659" s="312"/>
      <c r="O659" s="312"/>
      <c r="P659" s="554" t="s">
        <v>496</v>
      </c>
      <c r="Q659" s="292"/>
      <c r="R659" s="170"/>
      <c r="S659" s="389"/>
      <c r="T659" s="501" t="s">
        <v>2493</v>
      </c>
      <c r="U659" s="501" t="s">
        <v>858</v>
      </c>
      <c r="AA659" s="26"/>
      <c r="AB659" s="26"/>
      <c r="AC659" s="931"/>
      <c r="AD659" s="512"/>
    </row>
    <row r="660" spans="6:30" ht="10.5" customHeight="1">
      <c r="F660" s="332"/>
      <c r="G660" s="312"/>
      <c r="H660" s="312"/>
      <c r="I660" s="312"/>
      <c r="J660" s="312"/>
      <c r="K660" s="312"/>
      <c r="L660" s="312"/>
      <c r="M660" s="312"/>
      <c r="N660" s="312"/>
      <c r="O660" s="312"/>
      <c r="P660" s="554" t="s">
        <v>2502</v>
      </c>
      <c r="Q660" s="292"/>
      <c r="R660" s="170"/>
      <c r="S660" s="389"/>
      <c r="T660" s="501" t="s">
        <v>1059</v>
      </c>
      <c r="U660" s="501" t="s">
        <v>617</v>
      </c>
      <c r="AA660" s="26"/>
      <c r="AB660" s="26"/>
      <c r="AC660" s="931"/>
      <c r="AD660" s="512"/>
    </row>
    <row r="661" spans="6:30" ht="10.5" customHeight="1">
      <c r="F661" s="332"/>
      <c r="G661" s="312"/>
      <c r="H661" s="312"/>
      <c r="I661" s="312"/>
      <c r="J661" s="312"/>
      <c r="K661" s="312"/>
      <c r="L661" s="312"/>
      <c r="M661" s="312"/>
      <c r="N661" s="312"/>
      <c r="O661" s="312"/>
      <c r="P661" s="554" t="s">
        <v>2504</v>
      </c>
      <c r="Q661" s="292"/>
      <c r="R661" s="170"/>
      <c r="S661" s="389"/>
      <c r="T661" s="555" t="s">
        <v>2141</v>
      </c>
      <c r="U661" s="555" t="s">
        <v>106</v>
      </c>
      <c r="AA661" s="26"/>
      <c r="AB661" s="26"/>
      <c r="AC661" s="931"/>
      <c r="AD661" s="512"/>
    </row>
    <row r="662" spans="6:30" ht="10.5" customHeight="1">
      <c r="F662" s="332"/>
      <c r="G662" s="312"/>
      <c r="H662" s="312"/>
      <c r="I662" s="312"/>
      <c r="J662" s="312"/>
      <c r="K662" s="312"/>
      <c r="L662" s="312"/>
      <c r="M662" s="312"/>
      <c r="N662" s="312"/>
      <c r="O662" s="312"/>
      <c r="P662" s="554" t="s">
        <v>1141</v>
      </c>
      <c r="Q662" s="292"/>
      <c r="R662" s="170"/>
      <c r="S662" s="389"/>
      <c r="T662" s="501" t="s">
        <v>2720</v>
      </c>
      <c r="U662" s="501" t="s">
        <v>1589</v>
      </c>
      <c r="AA662" s="26"/>
      <c r="AB662" s="26"/>
      <c r="AC662" s="932"/>
      <c r="AD662" s="512"/>
    </row>
    <row r="663" spans="6:30" ht="10.5" customHeight="1">
      <c r="F663" s="332"/>
      <c r="G663" s="312"/>
      <c r="H663" s="312"/>
      <c r="I663" s="312"/>
      <c r="J663" s="312"/>
      <c r="K663" s="312"/>
      <c r="L663" s="312"/>
      <c r="M663" s="312"/>
      <c r="N663" s="312"/>
      <c r="O663" s="312"/>
      <c r="P663" s="554" t="s">
        <v>2483</v>
      </c>
      <c r="Q663" s="292"/>
      <c r="R663" s="170"/>
      <c r="S663" s="389"/>
      <c r="T663" s="501" t="s">
        <v>1452</v>
      </c>
      <c r="U663" s="501" t="s">
        <v>2498</v>
      </c>
      <c r="AA663" s="26"/>
      <c r="AB663" s="26"/>
      <c r="AC663" s="931"/>
      <c r="AD663" s="512"/>
    </row>
    <row r="664" spans="6:30" ht="10.5" customHeight="1">
      <c r="F664" s="332"/>
      <c r="G664" s="312"/>
      <c r="H664" s="312"/>
      <c r="I664" s="312"/>
      <c r="J664" s="312"/>
      <c r="K664" s="312"/>
      <c r="L664" s="312"/>
      <c r="M664" s="312"/>
      <c r="N664" s="312"/>
      <c r="O664" s="312"/>
      <c r="P664" s="554" t="s">
        <v>2485</v>
      </c>
      <c r="Q664" s="292"/>
      <c r="R664" s="170"/>
      <c r="S664" s="389"/>
      <c r="T664" s="501" t="s">
        <v>2818</v>
      </c>
      <c r="U664" s="501" t="s">
        <v>1925</v>
      </c>
      <c r="AA664" s="26"/>
      <c r="AB664" s="26"/>
      <c r="AC664" s="931"/>
      <c r="AD664" s="512"/>
    </row>
    <row r="665" spans="6:30" ht="10.5" customHeight="1">
      <c r="F665" s="332"/>
      <c r="G665" s="312"/>
      <c r="H665" s="312"/>
      <c r="I665" s="312"/>
      <c r="J665" s="312"/>
      <c r="K665" s="312"/>
      <c r="L665" s="312"/>
      <c r="M665" s="312"/>
      <c r="N665" s="312"/>
      <c r="O665" s="312"/>
      <c r="P665" s="554" t="s">
        <v>1513</v>
      </c>
      <c r="Q665" s="292"/>
      <c r="R665" s="170"/>
      <c r="S665" s="389"/>
      <c r="T665" s="501" t="s">
        <v>1454</v>
      </c>
      <c r="U665" s="501" t="s">
        <v>322</v>
      </c>
      <c r="AA665" s="26"/>
      <c r="AB665" s="26"/>
      <c r="AC665" s="931"/>
      <c r="AD665" s="512"/>
    </row>
    <row r="666" spans="6:30" ht="10.5" customHeight="1">
      <c r="F666" s="332"/>
      <c r="G666" s="312"/>
      <c r="H666" s="312"/>
      <c r="I666" s="312"/>
      <c r="J666" s="312"/>
      <c r="K666" s="312"/>
      <c r="L666" s="312"/>
      <c r="M666" s="312"/>
      <c r="N666" s="312"/>
      <c r="O666" s="312"/>
      <c r="P666" s="554" t="s">
        <v>1514</v>
      </c>
      <c r="Q666" s="292"/>
      <c r="R666" s="170"/>
      <c r="S666" s="389"/>
      <c r="T666" s="501" t="s">
        <v>1060</v>
      </c>
      <c r="U666" s="501" t="s">
        <v>647</v>
      </c>
      <c r="AA666" s="26"/>
      <c r="AB666" s="26"/>
      <c r="AC666" s="931"/>
      <c r="AD666" s="512"/>
    </row>
    <row r="667" spans="6:30" ht="10.5" customHeight="1">
      <c r="F667" s="332"/>
      <c r="G667" s="312"/>
      <c r="H667" s="312"/>
      <c r="I667" s="312"/>
      <c r="J667" s="312"/>
      <c r="K667" s="312"/>
      <c r="L667" s="312"/>
      <c r="M667" s="312"/>
      <c r="N667" s="312"/>
      <c r="O667" s="312"/>
      <c r="P667" s="554" t="s">
        <v>2074</v>
      </c>
      <c r="Q667" s="292"/>
      <c r="R667" s="170"/>
      <c r="S667" s="389"/>
      <c r="T667" s="501" t="s">
        <v>1291</v>
      </c>
      <c r="U667" s="501" t="s">
        <v>2154</v>
      </c>
      <c r="AA667" s="26"/>
      <c r="AB667" s="26"/>
      <c r="AC667" s="931"/>
      <c r="AD667" s="512"/>
    </row>
    <row r="668" spans="6:30" ht="10.5" customHeight="1">
      <c r="F668" s="332"/>
      <c r="G668" s="312"/>
      <c r="H668" s="312"/>
      <c r="I668" s="312"/>
      <c r="J668" s="312"/>
      <c r="K668" s="312"/>
      <c r="L668" s="312"/>
      <c r="M668" s="312"/>
      <c r="N668" s="312"/>
      <c r="O668" s="312"/>
      <c r="P668" s="554" t="s">
        <v>2075</v>
      </c>
      <c r="Q668" s="292"/>
      <c r="R668" s="170"/>
      <c r="S668" s="389"/>
      <c r="T668" s="501" t="s">
        <v>1293</v>
      </c>
      <c r="U668" s="501" t="s">
        <v>2498</v>
      </c>
      <c r="AA668" s="26"/>
      <c r="AB668" s="26"/>
      <c r="AC668" s="931"/>
      <c r="AD668" s="512"/>
    </row>
    <row r="669" spans="6:30" ht="10.5" customHeight="1">
      <c r="F669" s="332"/>
      <c r="G669" s="312"/>
      <c r="H669" s="312"/>
      <c r="I669" s="312"/>
      <c r="J669" s="312"/>
      <c r="K669" s="312"/>
      <c r="L669" s="312"/>
      <c r="M669" s="312"/>
      <c r="N669" s="312"/>
      <c r="O669" s="312"/>
      <c r="P669" s="554" t="s">
        <v>1603</v>
      </c>
      <c r="Q669" s="292"/>
      <c r="R669" s="170"/>
      <c r="S669" s="389"/>
      <c r="T669" s="501" t="s">
        <v>1966</v>
      </c>
      <c r="U669" s="501" t="s">
        <v>1094</v>
      </c>
      <c r="AA669" s="26"/>
      <c r="AB669" s="26"/>
      <c r="AC669" s="931"/>
      <c r="AD669" s="512"/>
    </row>
    <row r="670" spans="6:30" ht="10.5" customHeight="1">
      <c r="F670" s="332"/>
      <c r="G670" s="312"/>
      <c r="H670" s="312"/>
      <c r="I670" s="312"/>
      <c r="J670" s="312"/>
      <c r="K670" s="312"/>
      <c r="L670" s="312"/>
      <c r="M670" s="312"/>
      <c r="N670" s="312"/>
      <c r="O670" s="312"/>
      <c r="P670" s="554" t="s">
        <v>1605</v>
      </c>
      <c r="Q670" s="292"/>
      <c r="R670" s="170"/>
      <c r="S670" s="389"/>
      <c r="T670" s="501" t="s">
        <v>724</v>
      </c>
      <c r="U670" s="501" t="s">
        <v>312</v>
      </c>
      <c r="AA670" s="26"/>
      <c r="AB670" s="26"/>
      <c r="AC670" s="931"/>
      <c r="AD670" s="512"/>
    </row>
    <row r="671" spans="6:30" ht="10.5" customHeight="1">
      <c r="F671" s="332"/>
      <c r="G671" s="312"/>
      <c r="H671" s="312"/>
      <c r="I671" s="312"/>
      <c r="J671" s="312"/>
      <c r="K671" s="312"/>
      <c r="L671" s="312"/>
      <c r="M671" s="312"/>
      <c r="N671" s="312"/>
      <c r="O671" s="312"/>
      <c r="P671" s="554" t="s">
        <v>923</v>
      </c>
      <c r="Q671" s="292"/>
      <c r="R671" s="170"/>
      <c r="S671" s="389"/>
      <c r="T671" s="501" t="s">
        <v>1252</v>
      </c>
      <c r="U671" s="501" t="s">
        <v>660</v>
      </c>
      <c r="AA671" s="26"/>
      <c r="AB671" s="26"/>
      <c r="AC671" s="931"/>
      <c r="AD671" s="512"/>
    </row>
    <row r="672" spans="6:30" ht="10.5" customHeight="1">
      <c r="F672" s="332"/>
      <c r="G672" s="312"/>
      <c r="H672" s="312"/>
      <c r="I672" s="312"/>
      <c r="J672" s="312"/>
      <c r="K672" s="312"/>
      <c r="L672" s="312"/>
      <c r="M672" s="312"/>
      <c r="N672" s="312"/>
      <c r="O672" s="312"/>
      <c r="P672" s="554" t="s">
        <v>925</v>
      </c>
      <c r="Q672" s="292"/>
      <c r="R672" s="170"/>
      <c r="S672" s="389"/>
      <c r="T672" s="501" t="s">
        <v>1061</v>
      </c>
      <c r="U672" s="501" t="s">
        <v>157</v>
      </c>
      <c r="AA672" s="26"/>
      <c r="AB672" s="26"/>
      <c r="AC672" s="931"/>
      <c r="AD672" s="512"/>
    </row>
    <row r="673" spans="6:30" ht="10.5" customHeight="1">
      <c r="F673" s="332"/>
      <c r="G673" s="312"/>
      <c r="H673" s="312"/>
      <c r="I673" s="312"/>
      <c r="J673" s="312"/>
      <c r="K673" s="312"/>
      <c r="L673" s="312"/>
      <c r="M673" s="312"/>
      <c r="N673" s="312"/>
      <c r="O673" s="312"/>
      <c r="P673" s="554" t="s">
        <v>927</v>
      </c>
      <c r="Q673" s="292"/>
      <c r="R673" s="170"/>
      <c r="S673" s="389"/>
      <c r="T673" s="555" t="s">
        <v>1858</v>
      </c>
      <c r="U673" s="555" t="s">
        <v>1092</v>
      </c>
      <c r="AA673" s="26"/>
      <c r="AB673" s="26"/>
      <c r="AC673" s="931"/>
      <c r="AD673" s="512"/>
    </row>
    <row r="674" spans="6:30" ht="10.5" customHeight="1">
      <c r="F674" s="332"/>
      <c r="G674" s="312"/>
      <c r="H674" s="312"/>
      <c r="I674" s="312"/>
      <c r="J674" s="312"/>
      <c r="K674" s="312"/>
      <c r="L674" s="312"/>
      <c r="M674" s="312"/>
      <c r="N674" s="312"/>
      <c r="O674" s="312"/>
      <c r="P674" s="554" t="s">
        <v>2468</v>
      </c>
      <c r="Q674" s="292"/>
      <c r="R674" s="170"/>
      <c r="S674" s="389"/>
      <c r="T674" s="555" t="s">
        <v>1860</v>
      </c>
      <c r="U674" s="555" t="s">
        <v>1439</v>
      </c>
      <c r="AA674" s="26"/>
      <c r="AB674" s="26"/>
      <c r="AC674" s="932"/>
      <c r="AD674" s="512"/>
    </row>
    <row r="675" spans="6:30" ht="10.5" customHeight="1">
      <c r="F675" s="332"/>
      <c r="G675" s="312"/>
      <c r="H675" s="312"/>
      <c r="I675" s="312"/>
      <c r="J675" s="312"/>
      <c r="K675" s="312"/>
      <c r="L675" s="312"/>
      <c r="M675" s="312"/>
      <c r="N675" s="312"/>
      <c r="O675" s="312"/>
      <c r="P675" s="554" t="s">
        <v>2470</v>
      </c>
      <c r="Q675" s="292"/>
      <c r="R675" s="170"/>
      <c r="S675" s="389"/>
      <c r="T675" s="501" t="s">
        <v>1862</v>
      </c>
      <c r="U675" s="501" t="s">
        <v>2454</v>
      </c>
      <c r="AA675" s="26"/>
      <c r="AB675" s="26"/>
      <c r="AC675" s="932"/>
      <c r="AD675" s="512"/>
    </row>
    <row r="676" spans="6:30" ht="10.5" customHeight="1">
      <c r="F676" s="332"/>
      <c r="G676" s="312"/>
      <c r="H676" s="312"/>
      <c r="I676" s="312"/>
      <c r="J676" s="312"/>
      <c r="K676" s="312"/>
      <c r="L676" s="312"/>
      <c r="M676" s="312"/>
      <c r="N676" s="312"/>
      <c r="O676" s="312"/>
      <c r="P676" s="554" t="s">
        <v>2471</v>
      </c>
      <c r="Q676" s="292"/>
      <c r="R676" s="170"/>
      <c r="S676" s="389"/>
      <c r="T676" s="501" t="s">
        <v>1864</v>
      </c>
      <c r="U676" s="501" t="s">
        <v>119</v>
      </c>
      <c r="AA676" s="26"/>
      <c r="AB676" s="26"/>
      <c r="AC676" s="931"/>
      <c r="AD676" s="512"/>
    </row>
    <row r="677" spans="6:30" ht="10.5" customHeight="1">
      <c r="F677" s="332"/>
      <c r="G677" s="312"/>
      <c r="H677" s="312"/>
      <c r="I677" s="312"/>
      <c r="J677" s="312"/>
      <c r="K677" s="312"/>
      <c r="L677" s="312"/>
      <c r="M677" s="312"/>
      <c r="N677" s="312"/>
      <c r="O677" s="312"/>
      <c r="P677" s="554" t="s">
        <v>1875</v>
      </c>
      <c r="Q677" s="292"/>
      <c r="R677" s="170"/>
      <c r="S677" s="389"/>
      <c r="T677" s="501" t="s">
        <v>497</v>
      </c>
      <c r="U677" s="501" t="s">
        <v>1982</v>
      </c>
      <c r="AA677" s="26"/>
      <c r="AB677" s="26"/>
      <c r="AC677" s="931"/>
      <c r="AD677" s="512"/>
    </row>
    <row r="678" spans="6:30" ht="10.5" customHeight="1">
      <c r="F678" s="332"/>
      <c r="G678" s="312"/>
      <c r="H678" s="312"/>
      <c r="I678" s="312"/>
      <c r="J678" s="312"/>
      <c r="K678" s="312"/>
      <c r="L678" s="312"/>
      <c r="M678" s="312"/>
      <c r="N678" s="312"/>
      <c r="O678" s="312"/>
      <c r="P678" s="554" t="s">
        <v>1876</v>
      </c>
      <c r="Q678" s="292"/>
      <c r="R678" s="170"/>
      <c r="S678" s="389"/>
      <c r="T678" s="501" t="s">
        <v>2503</v>
      </c>
      <c r="U678" s="501" t="s">
        <v>1887</v>
      </c>
      <c r="AA678" s="26"/>
      <c r="AB678" s="26"/>
      <c r="AC678" s="931"/>
      <c r="AD678" s="512"/>
    </row>
    <row r="679" spans="6:30" ht="10.5" customHeight="1">
      <c r="F679" s="332"/>
      <c r="G679" s="312"/>
      <c r="H679" s="312"/>
      <c r="I679" s="312"/>
      <c r="J679" s="312"/>
      <c r="K679" s="312"/>
      <c r="L679" s="312"/>
      <c r="M679" s="312"/>
      <c r="N679" s="312"/>
      <c r="O679" s="312"/>
      <c r="P679" s="554" t="s">
        <v>1878</v>
      </c>
      <c r="Q679" s="292"/>
      <c r="R679" s="170"/>
      <c r="S679" s="389"/>
      <c r="T679" s="501" t="s">
        <v>4409</v>
      </c>
      <c r="U679" s="501" t="s">
        <v>1191</v>
      </c>
      <c r="AA679" s="26"/>
      <c r="AB679" s="26"/>
      <c r="AC679" s="931"/>
      <c r="AD679" s="512"/>
    </row>
    <row r="680" spans="6:30" ht="10.5" customHeight="1">
      <c r="F680" s="332"/>
      <c r="G680" s="312"/>
      <c r="H680" s="312"/>
      <c r="I680" s="312"/>
      <c r="J680" s="312"/>
      <c r="K680" s="312"/>
      <c r="L680" s="312"/>
      <c r="M680" s="312"/>
      <c r="N680" s="312"/>
      <c r="O680" s="312"/>
      <c r="P680" s="554" t="s">
        <v>632</v>
      </c>
      <c r="Q680" s="292"/>
      <c r="R680" s="170"/>
      <c r="S680" s="389"/>
      <c r="T680" s="501" t="s">
        <v>2505</v>
      </c>
      <c r="U680" s="501" t="s">
        <v>2496</v>
      </c>
      <c r="AA680" s="26"/>
      <c r="AB680" s="26"/>
      <c r="AC680" s="931"/>
      <c r="AD680" s="512"/>
    </row>
    <row r="681" spans="6:30" ht="10.5" customHeight="1">
      <c r="F681" s="332"/>
      <c r="G681" s="312"/>
      <c r="H681" s="312"/>
      <c r="I681" s="312"/>
      <c r="J681" s="312"/>
      <c r="K681" s="312"/>
      <c r="L681" s="312"/>
      <c r="M681" s="312"/>
      <c r="N681" s="312"/>
      <c r="O681" s="312"/>
      <c r="P681" s="554" t="s">
        <v>634</v>
      </c>
      <c r="Q681" s="292"/>
      <c r="R681" s="170"/>
      <c r="S681" s="389"/>
      <c r="T681" s="501" t="s">
        <v>1142</v>
      </c>
      <c r="U681" s="501" t="s">
        <v>309</v>
      </c>
      <c r="AA681" s="26"/>
      <c r="AB681" s="26"/>
      <c r="AC681" s="931"/>
      <c r="AD681" s="512"/>
    </row>
    <row r="682" spans="6:30" ht="10.5" customHeight="1">
      <c r="F682" s="332"/>
      <c r="G682" s="312"/>
      <c r="H682" s="312"/>
      <c r="I682" s="312"/>
      <c r="J682" s="312"/>
      <c r="K682" s="312"/>
      <c r="L682" s="312"/>
      <c r="M682" s="312"/>
      <c r="N682" s="312"/>
      <c r="O682" s="312"/>
      <c r="P682" s="554" t="s">
        <v>635</v>
      </c>
      <c r="Q682" s="292"/>
      <c r="R682" s="170"/>
      <c r="S682" s="389"/>
      <c r="T682" s="501" t="s">
        <v>2484</v>
      </c>
      <c r="U682" s="501" t="s">
        <v>864</v>
      </c>
      <c r="AA682" s="26"/>
      <c r="AB682" s="26"/>
      <c r="AC682" s="931"/>
      <c r="AD682" s="512"/>
    </row>
    <row r="683" spans="6:30" ht="10.5" customHeight="1">
      <c r="F683" s="332"/>
      <c r="G683" s="312"/>
      <c r="H683" s="312"/>
      <c r="I683" s="312"/>
      <c r="J683" s="312"/>
      <c r="K683" s="312"/>
      <c r="L683" s="312"/>
      <c r="M683" s="312"/>
      <c r="N683" s="312"/>
      <c r="O683" s="312"/>
      <c r="P683" s="554" t="s">
        <v>2279</v>
      </c>
      <c r="Q683" s="292"/>
      <c r="R683" s="170"/>
      <c r="S683" s="389"/>
      <c r="T683" s="501" t="s">
        <v>804</v>
      </c>
      <c r="U683" s="501" t="s">
        <v>1319</v>
      </c>
      <c r="AA683" s="26"/>
      <c r="AB683" s="26"/>
      <c r="AC683" s="931"/>
      <c r="AD683" s="512"/>
    </row>
    <row r="684" spans="6:30" ht="10.5" customHeight="1">
      <c r="F684" s="332"/>
      <c r="G684" s="312"/>
      <c r="H684" s="312"/>
      <c r="I684" s="312"/>
      <c r="J684" s="312"/>
      <c r="K684" s="312"/>
      <c r="L684" s="312"/>
      <c r="M684" s="312"/>
      <c r="N684" s="312"/>
      <c r="O684" s="312"/>
      <c r="P684" s="554" t="s">
        <v>69</v>
      </c>
      <c r="Q684" s="292"/>
      <c r="R684" s="170"/>
      <c r="S684" s="389"/>
      <c r="T684" s="501" t="s">
        <v>1057</v>
      </c>
      <c r="U684" s="501" t="s">
        <v>655</v>
      </c>
      <c r="AA684" s="26"/>
      <c r="AB684" s="26"/>
      <c r="AC684" s="931"/>
      <c r="AD684" s="512"/>
    </row>
    <row r="685" spans="6:30" ht="10.5" customHeight="1">
      <c r="F685" s="332"/>
      <c r="G685" s="312"/>
      <c r="H685" s="312"/>
      <c r="I685" s="312"/>
      <c r="J685" s="312"/>
      <c r="K685" s="312"/>
      <c r="L685" s="312"/>
      <c r="M685" s="312"/>
      <c r="N685" s="312"/>
      <c r="O685" s="312"/>
      <c r="P685" s="554" t="s">
        <v>1399</v>
      </c>
      <c r="Q685" s="292"/>
      <c r="R685" s="170"/>
      <c r="S685" s="389"/>
      <c r="T685" s="501" t="s">
        <v>1515</v>
      </c>
      <c r="U685" s="501" t="s">
        <v>325</v>
      </c>
      <c r="AA685" s="26"/>
      <c r="AB685" s="26"/>
      <c r="AC685" s="931"/>
      <c r="AD685" s="512"/>
    </row>
    <row r="686" spans="6:30" ht="10.5" customHeight="1">
      <c r="F686" s="332"/>
      <c r="G686" s="312"/>
      <c r="H686" s="312"/>
      <c r="I686" s="312"/>
      <c r="J686" s="312"/>
      <c r="K686" s="312"/>
      <c r="L686" s="312"/>
      <c r="M686" s="312"/>
      <c r="N686" s="312"/>
      <c r="O686" s="312"/>
      <c r="P686" s="554" t="s">
        <v>2228</v>
      </c>
      <c r="Q686" s="292"/>
      <c r="R686" s="170"/>
      <c r="S686" s="389"/>
      <c r="T686" s="501" t="s">
        <v>2819</v>
      </c>
      <c r="U686" s="501" t="s">
        <v>863</v>
      </c>
      <c r="AA686" s="26"/>
      <c r="AB686" s="26"/>
      <c r="AC686" s="931"/>
      <c r="AD686" s="512"/>
    </row>
    <row r="687" spans="6:30" ht="10.5" customHeight="1">
      <c r="F687" s="332"/>
      <c r="G687" s="312"/>
      <c r="H687" s="312"/>
      <c r="I687" s="312"/>
      <c r="J687" s="312"/>
      <c r="K687" s="312"/>
      <c r="L687" s="312"/>
      <c r="M687" s="312"/>
      <c r="N687" s="312"/>
      <c r="O687" s="312"/>
      <c r="P687" s="554" t="s">
        <v>2230</v>
      </c>
      <c r="Q687" s="292"/>
      <c r="R687" s="170"/>
      <c r="S687" s="389"/>
      <c r="T687" s="501" t="s">
        <v>2076</v>
      </c>
      <c r="U687" s="501" t="s">
        <v>1312</v>
      </c>
      <c r="AA687" s="26"/>
      <c r="AB687" s="26"/>
      <c r="AC687" s="931"/>
      <c r="AD687" s="512"/>
    </row>
    <row r="688" spans="6:30" ht="10.5" customHeight="1">
      <c r="F688" s="332"/>
      <c r="G688" s="312"/>
      <c r="H688" s="312"/>
      <c r="I688" s="312"/>
      <c r="J688" s="312"/>
      <c r="K688" s="312"/>
      <c r="L688" s="312"/>
      <c r="M688" s="312"/>
      <c r="N688" s="312"/>
      <c r="O688" s="312"/>
      <c r="P688" s="554" t="s">
        <v>1780</v>
      </c>
      <c r="Q688" s="292"/>
      <c r="R688" s="170"/>
      <c r="S688" s="389"/>
      <c r="T688" s="501" t="s">
        <v>1604</v>
      </c>
      <c r="U688" s="501" t="s">
        <v>1298</v>
      </c>
      <c r="AA688" s="26"/>
      <c r="AB688" s="26"/>
      <c r="AC688" s="931"/>
      <c r="AD688" s="512"/>
    </row>
    <row r="689" spans="6:30" ht="10.5" customHeight="1">
      <c r="F689" s="332"/>
      <c r="G689" s="312"/>
      <c r="H689" s="312"/>
      <c r="I689" s="312"/>
      <c r="J689" s="312"/>
      <c r="K689" s="312"/>
      <c r="L689" s="312"/>
      <c r="M689" s="312"/>
      <c r="N689" s="312"/>
      <c r="O689" s="312"/>
      <c r="P689" s="554" t="s">
        <v>1104</v>
      </c>
      <c r="Q689" s="292"/>
      <c r="R689" s="170"/>
      <c r="S689" s="389"/>
      <c r="T689" s="501" t="s">
        <v>924</v>
      </c>
      <c r="U689" s="501" t="s">
        <v>2214</v>
      </c>
      <c r="AA689" s="26"/>
      <c r="AB689" s="26"/>
      <c r="AC689" s="931"/>
      <c r="AD689" s="512"/>
    </row>
    <row r="690" spans="6:30" ht="10.5" customHeight="1">
      <c r="F690" s="332"/>
      <c r="G690" s="312"/>
      <c r="H690" s="312"/>
      <c r="I690" s="312"/>
      <c r="J690" s="312"/>
      <c r="K690" s="312"/>
      <c r="L690" s="312"/>
      <c r="M690" s="312"/>
      <c r="N690" s="312"/>
      <c r="O690" s="312"/>
      <c r="P690" s="554" t="s">
        <v>2021</v>
      </c>
      <c r="Q690" s="292"/>
      <c r="R690" s="170"/>
      <c r="S690" s="389"/>
      <c r="T690" s="501" t="s">
        <v>926</v>
      </c>
      <c r="U690" s="501" t="s">
        <v>316</v>
      </c>
      <c r="AA690" s="26"/>
      <c r="AB690" s="26"/>
      <c r="AC690" s="931"/>
      <c r="AD690" s="512"/>
    </row>
    <row r="691" spans="6:30" ht="10.5" customHeight="1">
      <c r="F691" s="332"/>
      <c r="G691" s="312"/>
      <c r="H691" s="312"/>
      <c r="I691" s="312"/>
      <c r="J691" s="312"/>
      <c r="K691" s="312"/>
      <c r="L691" s="312"/>
      <c r="M691" s="312"/>
      <c r="N691" s="312"/>
      <c r="O691" s="312"/>
      <c r="P691" s="554" t="s">
        <v>1942</v>
      </c>
      <c r="Q691" s="292"/>
      <c r="R691" s="170"/>
      <c r="S691" s="389"/>
      <c r="T691" s="501" t="s">
        <v>2469</v>
      </c>
      <c r="U691" s="501" t="s">
        <v>617</v>
      </c>
      <c r="AA691" s="26"/>
      <c r="AB691" s="26"/>
      <c r="AC691" s="931"/>
      <c r="AD691" s="512"/>
    </row>
    <row r="692" spans="6:30" ht="10.5" customHeight="1">
      <c r="F692" s="332"/>
      <c r="G692" s="312"/>
      <c r="H692" s="312"/>
      <c r="I692" s="312"/>
      <c r="J692" s="312"/>
      <c r="K692" s="312"/>
      <c r="L692" s="312"/>
      <c r="M692" s="312"/>
      <c r="N692" s="312"/>
      <c r="O692" s="312"/>
      <c r="P692" s="554" t="s">
        <v>1944</v>
      </c>
      <c r="Q692" s="292"/>
      <c r="R692" s="170"/>
      <c r="S692" s="389"/>
      <c r="T692" s="501" t="s">
        <v>4410</v>
      </c>
      <c r="U692" s="501" t="s">
        <v>617</v>
      </c>
      <c r="AA692" s="26"/>
      <c r="AB692" s="26"/>
      <c r="AC692" s="931"/>
      <c r="AD692" s="512"/>
    </row>
    <row r="693" spans="6:30" ht="10.5" customHeight="1">
      <c r="F693" s="332"/>
      <c r="G693" s="312"/>
      <c r="H693" s="312"/>
      <c r="I693" s="312"/>
      <c r="J693" s="312"/>
      <c r="K693" s="312"/>
      <c r="L693" s="312"/>
      <c r="M693" s="312"/>
      <c r="N693" s="312"/>
      <c r="O693" s="312"/>
      <c r="P693" s="554" t="s">
        <v>1946</v>
      </c>
      <c r="Q693" s="292"/>
      <c r="R693" s="170"/>
      <c r="S693" s="389"/>
      <c r="T693" s="501" t="s">
        <v>1874</v>
      </c>
      <c r="U693" s="501" t="s">
        <v>119</v>
      </c>
      <c r="AA693" s="26"/>
      <c r="AB693" s="26"/>
      <c r="AC693" s="931"/>
      <c r="AD693" s="512"/>
    </row>
    <row r="694" spans="6:30" ht="10.5" customHeight="1">
      <c r="F694" s="332"/>
      <c r="G694" s="312"/>
      <c r="H694" s="312"/>
      <c r="I694" s="312"/>
      <c r="J694" s="312"/>
      <c r="K694" s="312"/>
      <c r="L694" s="312"/>
      <c r="M694" s="312"/>
      <c r="N694" s="312"/>
      <c r="O694" s="312"/>
      <c r="P694" s="554" t="s">
        <v>489</v>
      </c>
      <c r="Q694" s="292"/>
      <c r="R694" s="170"/>
      <c r="S694" s="389"/>
      <c r="T694" s="501" t="s">
        <v>1877</v>
      </c>
      <c r="U694" s="501" t="s">
        <v>2214</v>
      </c>
      <c r="AA694" s="26"/>
      <c r="AB694" s="26"/>
      <c r="AC694" s="931"/>
      <c r="AD694" s="512"/>
    </row>
    <row r="695" spans="6:30" ht="10.5" customHeight="1">
      <c r="F695" s="332"/>
      <c r="G695" s="312"/>
      <c r="H695" s="312"/>
      <c r="I695" s="312"/>
      <c r="J695" s="312"/>
      <c r="K695" s="312"/>
      <c r="L695" s="312"/>
      <c r="M695" s="312"/>
      <c r="N695" s="312"/>
      <c r="O695" s="312"/>
      <c r="P695" s="554" t="s">
        <v>449</v>
      </c>
      <c r="Q695" s="292"/>
      <c r="R695" s="170"/>
      <c r="S695" s="389"/>
      <c r="T695" s="501" t="s">
        <v>1879</v>
      </c>
      <c r="U695" s="501" t="s">
        <v>160</v>
      </c>
      <c r="AA695" s="26"/>
      <c r="AB695" s="26"/>
      <c r="AC695" s="931"/>
      <c r="AD695" s="512"/>
    </row>
    <row r="696" spans="6:30" ht="10.5" customHeight="1">
      <c r="F696" s="332"/>
      <c r="G696" s="312"/>
      <c r="H696" s="312"/>
      <c r="I696" s="312"/>
      <c r="J696" s="312"/>
      <c r="K696" s="312"/>
      <c r="L696" s="312"/>
      <c r="M696" s="312"/>
      <c r="N696" s="312"/>
      <c r="O696" s="312"/>
      <c r="P696" s="554" t="s">
        <v>2071</v>
      </c>
      <c r="Q696" s="292"/>
      <c r="R696" s="170"/>
      <c r="S696" s="389"/>
      <c r="T696" s="501" t="s">
        <v>633</v>
      </c>
      <c r="U696" s="501" t="s">
        <v>2370</v>
      </c>
      <c r="AA696" s="26"/>
      <c r="AB696" s="26"/>
      <c r="AC696" s="931"/>
      <c r="AD696" s="512"/>
    </row>
    <row r="697" spans="6:30" ht="10.5" customHeight="1">
      <c r="F697" s="332"/>
      <c r="G697" s="312"/>
      <c r="H697" s="312"/>
      <c r="I697" s="312"/>
      <c r="J697" s="312"/>
      <c r="K697" s="312"/>
      <c r="L697" s="312"/>
      <c r="M697" s="312"/>
      <c r="N697" s="312"/>
      <c r="O697" s="312"/>
      <c r="P697" s="554" t="s">
        <v>2097</v>
      </c>
      <c r="Q697" s="968"/>
      <c r="R697" s="968"/>
      <c r="S697" s="969"/>
      <c r="T697" s="501" t="s">
        <v>805</v>
      </c>
      <c r="U697" s="501" t="s">
        <v>2145</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1062</v>
      </c>
      <c r="U698" s="501" t="s">
        <v>1885</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1063</v>
      </c>
      <c r="U699" s="501" t="s">
        <v>1979</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1448</v>
      </c>
      <c r="U700" s="501" t="s">
        <v>1195</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2280</v>
      </c>
      <c r="U701" s="501" t="s">
        <v>119</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1398</v>
      </c>
      <c r="U702" s="555" t="s">
        <v>2214</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2227</v>
      </c>
      <c r="U703" s="501" t="s">
        <v>1891</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2229</v>
      </c>
      <c r="U704" s="501" t="s">
        <v>2141</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2231</v>
      </c>
      <c r="U705" s="501" t="s">
        <v>2370</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2820</v>
      </c>
      <c r="U706" s="501" t="s">
        <v>157</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1103</v>
      </c>
      <c r="U707" s="501" t="s">
        <v>2152</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1105</v>
      </c>
      <c r="U708" s="501" t="s">
        <v>1080</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2022</v>
      </c>
      <c r="U709" s="501" t="s">
        <v>311</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1943</v>
      </c>
      <c r="U710" s="501" t="s">
        <v>120</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1945</v>
      </c>
      <c r="U711" s="501" t="s">
        <v>320</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1947</v>
      </c>
      <c r="U712" s="555" t="s">
        <v>182</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2821</v>
      </c>
      <c r="U713" s="501" t="s">
        <v>1885</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450</v>
      </c>
      <c r="U714" s="501" t="s">
        <v>1299</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2072</v>
      </c>
      <c r="U715" s="501" t="s">
        <v>722</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2098</v>
      </c>
      <c r="U716" s="501" t="s">
        <v>104</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821</v>
      </c>
      <c r="U717" s="501" t="s">
        <v>1979</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2099</v>
      </c>
      <c r="U718" s="501" t="s">
        <v>1979</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2100</v>
      </c>
      <c r="U719" s="501" t="s">
        <v>1647</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2303</v>
      </c>
      <c r="U720" s="501" t="s">
        <v>1850</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2304</v>
      </c>
      <c r="U721" s="555" t="s">
        <v>157</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2305</v>
      </c>
      <c r="U722" s="501" t="s">
        <v>1649</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2306</v>
      </c>
      <c r="U723" s="501" t="s">
        <v>1092</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2307</v>
      </c>
      <c r="U724" s="501" t="s">
        <v>2366</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2232</v>
      </c>
      <c r="U725" s="501" t="s">
        <v>2146</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1607</v>
      </c>
      <c r="U726" s="501" t="s">
        <v>2368</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1608</v>
      </c>
      <c r="U727" s="501" t="s">
        <v>192</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1665</v>
      </c>
      <c r="U728" s="501" t="s">
        <v>160</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1064</v>
      </c>
      <c r="U729" s="501" t="s">
        <v>617</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806</v>
      </c>
      <c r="U730" s="501" t="s">
        <v>1924</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1666</v>
      </c>
      <c r="U731" s="501" t="s">
        <v>2498</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1667</v>
      </c>
      <c r="U732" s="501" t="s">
        <v>2214</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1668</v>
      </c>
      <c r="U733" s="501" t="s">
        <v>1649</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1669</v>
      </c>
      <c r="U734" s="501" t="s">
        <v>157</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1670</v>
      </c>
      <c r="U735" s="501" t="s">
        <v>646</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1671</v>
      </c>
      <c r="U736" s="501" t="s">
        <v>940</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1672</v>
      </c>
      <c r="U737" s="501" t="s">
        <v>1191</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1673</v>
      </c>
      <c r="U738" s="501" t="s">
        <v>660</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1065</v>
      </c>
      <c r="U739" s="501" t="s">
        <v>1649</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1674</v>
      </c>
      <c r="U740" s="501" t="s">
        <v>182</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1675</v>
      </c>
      <c r="U741" s="555" t="s">
        <v>173</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1676</v>
      </c>
      <c r="U742" s="501" t="s">
        <v>1924</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1677</v>
      </c>
      <c r="U743" s="501" t="s">
        <v>157</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1678</v>
      </c>
      <c r="U744" s="501" t="s">
        <v>1883</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1679</v>
      </c>
      <c r="U745" s="555" t="s">
        <v>1314</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1680</v>
      </c>
      <c r="U746" s="501" t="s">
        <v>940</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1681</v>
      </c>
      <c r="U747" s="501" t="s">
        <v>722</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1066</v>
      </c>
      <c r="U748" s="501" t="s">
        <v>2454</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1682</v>
      </c>
      <c r="U749" s="501" t="s">
        <v>311</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1683</v>
      </c>
      <c r="U750" s="501" t="s">
        <v>325</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1684</v>
      </c>
      <c r="U751" s="501" t="s">
        <v>162</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1685</v>
      </c>
      <c r="U752" s="501" t="s">
        <v>1982</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1686</v>
      </c>
      <c r="U753" s="501" t="s">
        <v>1440</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1687</v>
      </c>
      <c r="U754" s="501" t="s">
        <v>1852</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1688</v>
      </c>
      <c r="U755" s="501" t="s">
        <v>317</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1689</v>
      </c>
      <c r="U756" s="501" t="s">
        <v>102</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290</v>
      </c>
      <c r="U757" s="501" t="s">
        <v>2370</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104</v>
      </c>
      <c r="U758" s="501" t="s">
        <v>2366</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291</v>
      </c>
      <c r="U759" s="389" t="s">
        <v>2556</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292</v>
      </c>
      <c r="U760" s="501" t="s">
        <v>312</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293</v>
      </c>
      <c r="U761" s="389" t="s">
        <v>1983</v>
      </c>
      <c r="AA761" s="26"/>
      <c r="AB761" s="26"/>
      <c r="AC761" s="931"/>
      <c r="AD761" s="512"/>
    </row>
    <row r="762" spans="6:30" ht="13.8">
      <c r="F762" s="332"/>
      <c r="G762" s="312"/>
      <c r="H762" s="312"/>
      <c r="I762" s="312"/>
      <c r="J762" s="558"/>
      <c r="K762" s="559"/>
      <c r="L762" s="168"/>
      <c r="M762" s="312"/>
      <c r="N762" s="312"/>
      <c r="O762" s="312"/>
      <c r="P762" s="312"/>
      <c r="Q762" s="312"/>
      <c r="R762" s="312"/>
      <c r="S762" s="312"/>
      <c r="T762" s="389" t="s">
        <v>294</v>
      </c>
      <c r="U762" s="389" t="s">
        <v>1314</v>
      </c>
      <c r="AA762" s="26"/>
      <c r="AB762" s="26"/>
      <c r="AC762" s="931"/>
      <c r="AD762" s="512"/>
    </row>
    <row r="763" spans="6:30" ht="13.8">
      <c r="F763" s="332"/>
      <c r="G763" s="312"/>
      <c r="H763" s="312"/>
      <c r="I763" s="312"/>
      <c r="J763" s="558"/>
      <c r="K763" s="559"/>
      <c r="L763" s="168"/>
      <c r="M763" s="312"/>
      <c r="N763" s="312"/>
      <c r="O763" s="312"/>
      <c r="P763" s="312"/>
      <c r="Q763" s="312"/>
      <c r="R763" s="312"/>
      <c r="S763" s="312"/>
      <c r="T763" s="389" t="s">
        <v>295</v>
      </c>
      <c r="U763" s="389" t="s">
        <v>1889</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296</v>
      </c>
      <c r="U764" s="389" t="s">
        <v>108</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297</v>
      </c>
      <c r="U765" s="389" t="s">
        <v>658</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112</v>
      </c>
      <c r="U766" s="389" t="s">
        <v>1299</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1520</v>
      </c>
      <c r="U767" s="389" t="s">
        <v>660</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1067</v>
      </c>
      <c r="U768" s="389" t="s">
        <v>157</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1521</v>
      </c>
      <c r="U769" s="389" t="s">
        <v>722</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1522</v>
      </c>
      <c r="U770" s="389" t="s">
        <v>1755</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1523</v>
      </c>
      <c r="U771" s="389" t="s">
        <v>1083</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1068</v>
      </c>
      <c r="U772" s="389" t="s">
        <v>157</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1524</v>
      </c>
      <c r="U773" s="389" t="s">
        <v>1298</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1525</v>
      </c>
      <c r="U774" s="389" t="s">
        <v>163</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1526</v>
      </c>
      <c r="U775" s="389" t="s">
        <v>1319</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1527</v>
      </c>
      <c r="U776" s="389" t="s">
        <v>1852</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1528</v>
      </c>
      <c r="U777" s="389" t="s">
        <v>2152</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1529</v>
      </c>
      <c r="U778" s="389" t="s">
        <v>162</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2351</v>
      </c>
      <c r="U779" s="389" t="s">
        <v>660</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2352</v>
      </c>
      <c r="U780" s="389" t="s">
        <v>646</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2353</v>
      </c>
      <c r="U781" s="389" t="s">
        <v>325</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822</v>
      </c>
      <c r="U782" s="389" t="s">
        <v>329</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823</v>
      </c>
      <c r="U783" s="389" t="s">
        <v>1979</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2822</v>
      </c>
      <c r="U784" s="389" t="s">
        <v>112</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824</v>
      </c>
      <c r="U785" s="389" t="s">
        <v>1885</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825</v>
      </c>
      <c r="U786" s="389" t="s">
        <v>1083</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Kb5p4t1Gmp3aS62Rbf0Cyz1l4Ej6L+wMuRnFFCtAUKewKKPpdGflJm3PQfoM7zIhYoN1gTX1Txjpvk1Up3TCsQ==" saltValue="8J5I4vBxvVEPCyFN3wY8xw=="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sheetPr codeName="Sheet14"/>
  <dimension ref="A1:MS2102"/>
  <sheetViews>
    <sheetView showGridLines="0" zoomScaleNormal="100" workbookViewId="0">
      <selection sqref="A1:XFD1048576"/>
    </sheetView>
  </sheetViews>
  <sheetFormatPr defaultColWidth="9.109375" defaultRowHeight="13.2"/>
  <cols>
    <col min="1" max="1" width="9.44140625" style="638" bestFit="1" customWidth="1"/>
    <col min="2" max="2" width="11.6640625" style="638" bestFit="1" customWidth="1"/>
    <col min="3" max="6" width="11.109375" style="638" bestFit="1" customWidth="1"/>
    <col min="7" max="7" width="10.44140625" style="638" bestFit="1" customWidth="1"/>
    <col min="8" max="8" width="12.44140625" style="638" bestFit="1" customWidth="1"/>
    <col min="9" max="9" width="14.6640625" style="638" bestFit="1" customWidth="1"/>
    <col min="10" max="10" width="12.44140625" style="638" bestFit="1" customWidth="1"/>
    <col min="11" max="15" width="13.21875" style="638" bestFit="1" customWidth="1"/>
    <col min="16" max="16" width="15.5546875" style="638" bestFit="1" customWidth="1"/>
    <col min="17" max="17" width="11.77734375" style="638" bestFit="1" customWidth="1"/>
    <col min="18" max="357" width="9.44140625" style="638" bestFit="1" customWidth="1"/>
    <col min="358" max="16384" width="9.109375" style="638"/>
  </cols>
  <sheetData>
    <row r="1" spans="1:1" ht="15.6">
      <c r="A1" s="1775" t="s">
        <v>966</v>
      </c>
    </row>
    <row r="2" spans="1:1" ht="13.8">
      <c r="A2" s="1776" t="str">
        <f>'Part I-Project Information'!F34</f>
        <v>Haven at South Atlanta</v>
      </c>
    </row>
    <row r="3" spans="1:1" ht="13.8">
      <c r="A3" s="1776" t="str">
        <f>CONCATENATE('Part I-Project Information'!F38,", ", 'Part I-Project Information'!J39," County")</f>
        <v>Atlanta, Fulton County</v>
      </c>
    </row>
    <row r="5" spans="1:1" ht="12.75" customHeight="1">
      <c r="A5" s="1777" t="str">
        <f>'Project Narrative'!$A$5</f>
        <v xml:space="preserve">The Haven at South Atlanta project is an 84-unit mixed-income multifamily 9% LIHTC (2019) application.  Pennrose, LLC is partnering with Focused Community Strategies (FCS), an Atlanta based non-profit to develop the project.   This mixed-income community will provide much needed affordable multifamily housing to a community that is minutes from downtown Atlanta and numerous other job centers and amenities.  
Focused Community Strategies (FCS) is a 501C(3) organization that empowers neighborhoods to thrive.   FCS has been partnering with under-resourced Atlanta neighborhoods for forty years starting with Grant Park, and then Ormewood Park, Summerhill, and East Lake.  For the past sixteen years, FCS has invested in the Historic South Atlanta neighborhood to create a flourishing community through mixed-income housing, economic development, neighborhood engagement, training and consulting.   Since its founding in 1978, FCS has established a national reputation as a multi-faceted community development organization that creates healthy, 
sustainable, and restorative communities.  In 2001, FCS began a partnership with residents of Historic South Atlanta neighborhood.  Together with Historic South Atlanta’s 1,922 residents, FCS has transformed abandoned houses into beautiful homes, opened a “neighborhood” grocery store (Carver Market) in a former food desert, and provided numerous services and other opportunities to the residents of the neighborhood. 
The site is located in southeast Atlanta, 10 minutes from downtown.  FCS has acquired lots adjacent to Price Middle School, which is in the Atlanta Public Schools (APS) Carver Cluster.  The proposed project would consist of the new construction of 1, 2, and 3-bedroom units. FCS has developed over 150 mixed-income housing in the Historic South Atlanta neighborhood, all single-family rental or for-sale, with 25% of all homes in the neighborhood owned by low-income residents.   FCS has developed a “neighborhood” market – Carver Market and Community Grounds Coffee Shop, both of which offer retail space and jobs to residents in the neighborhood.   FCS also provides, through partnerships with other organizations, training &amp; support for local entrepreneurs and targeted socials services.   Historic South Atlanta is one of the only examples around the Atlanta Beltline of a stable and equitable neighborhood.  FCS is currently planning potential expansion of its current headquarters, located at Carver Market, as well as additional retail/commercial development opportunities within the neighborhood.  
The proposed project type would be garden apartments to include Market, 60% and 50% AMI units.  The units will include full appliances to include washers and dryers.  The project will include all the amenities of comparable new market rate properties being developed in the City of Atlanta.  There will be a separate clubhouse with amenities to include, but not limited to business center, club room, fitness room and staff offices.  FCS has already established great working relationships with partners, who have helped “transform” the Historic South Atlanta neighborhood.   These partners include, but are not limited to – AHA, City of Atlanta, Invest Atlanta, YMCA, Purpose Built Schools, and Purpose Built Communities.  </v>
      </c>
    </row>
    <row r="6" spans="1:1" ht="13.8">
      <c r="A6" s="1777"/>
    </row>
    <row r="7" spans="1:1" ht="13.8">
      <c r="A7" s="1777"/>
    </row>
    <row r="8" spans="1:1" ht="13.8">
      <c r="A8" s="1777"/>
    </row>
    <row r="9" spans="1:1" ht="13.8">
      <c r="A9" s="1777"/>
    </row>
    <row r="10" spans="1:1" ht="13.8">
      <c r="A10" s="1777"/>
    </row>
    <row r="11" spans="1:1" ht="13.8">
      <c r="A11" s="1777"/>
    </row>
    <row r="12" spans="1:1" ht="13.8">
      <c r="A12" s="1777"/>
    </row>
    <row r="13" spans="1:1" ht="13.8">
      <c r="A13" s="1777"/>
    </row>
    <row r="14" spans="1:1" ht="13.8">
      <c r="A14" s="1777"/>
    </row>
    <row r="15" spans="1:1" ht="13.8">
      <c r="A15" s="1777"/>
    </row>
    <row r="16" spans="1:1" ht="13.8">
      <c r="A16" s="1777"/>
    </row>
    <row r="17" spans="1:16" ht="13.8">
      <c r="A17" s="1777"/>
    </row>
    <row r="18" spans="1:16" ht="13.8">
      <c r="A18" s="1777"/>
    </row>
    <row r="19" spans="1:16" ht="13.8">
      <c r="A19" s="1777"/>
    </row>
    <row r="20" spans="1:16" ht="13.8">
      <c r="A20" s="1777"/>
    </row>
    <row r="21" spans="1:16" ht="13.8">
      <c r="A21" s="1777"/>
    </row>
    <row r="22" spans="1:16" ht="13.8">
      <c r="A22" s="1777"/>
    </row>
    <row r="23" spans="1:16" ht="13.8">
      <c r="A23" s="1777"/>
    </row>
    <row r="24" spans="1:16" ht="13.8">
      <c r="A24" s="1778" t="str">
        <f>CONCATENATE("PART ONE - PROJECT INFORMATION"," - ",$O$6," ",$F$34,", ",'Part I-Project Information'!F61,", ",'Part I-Project Information'!J62," County")</f>
        <v>PART ONE - PROJECT INFORMATION -  (Select an Application Type), ,  County</v>
      </c>
      <c r="B24" s="1778"/>
      <c r="C24" s="1778"/>
      <c r="D24" s="1778"/>
      <c r="E24" s="1778"/>
      <c r="F24" s="1778"/>
      <c r="G24" s="1778"/>
      <c r="H24" s="1778"/>
      <c r="I24" s="1778"/>
      <c r="J24" s="1778"/>
      <c r="K24" s="1778"/>
      <c r="L24" s="1778"/>
      <c r="M24" s="1778"/>
      <c r="N24" s="1778"/>
      <c r="O24" s="1778"/>
      <c r="P24" s="1778"/>
    </row>
    <row r="25" spans="1:16" ht="13.8">
      <c r="A25" s="1779"/>
      <c r="B25" s="1779"/>
      <c r="C25" s="1779"/>
      <c r="D25" s="1779"/>
      <c r="E25" s="1779"/>
      <c r="F25" s="1779"/>
      <c r="G25" s="1779"/>
      <c r="H25" s="1779"/>
      <c r="I25" s="1779"/>
      <c r="J25" s="1779"/>
      <c r="K25" s="1779"/>
      <c r="L25" s="1779"/>
      <c r="M25" s="1779"/>
      <c r="N25" s="1779"/>
      <c r="O25" s="1779"/>
      <c r="P25" s="1779"/>
    </row>
    <row r="26" spans="1:16" ht="12.75" customHeight="1">
      <c r="A26" s="1780" t="s">
        <v>4249</v>
      </c>
      <c r="B26" s="1780"/>
      <c r="C26" s="1780"/>
      <c r="D26" s="1780"/>
      <c r="E26" s="1780"/>
      <c r="F26" s="1780"/>
      <c r="G26" s="1780"/>
      <c r="H26" s="1780"/>
      <c r="I26" s="1780"/>
      <c r="J26" s="1780"/>
      <c r="K26" s="1780"/>
      <c r="L26" s="1780"/>
      <c r="M26" s="1780"/>
      <c r="N26" s="1780"/>
      <c r="O26" s="1780"/>
      <c r="P26" s="1780"/>
    </row>
    <row r="27" spans="1:16" ht="13.8">
      <c r="A27" s="1779"/>
      <c r="B27" s="1779"/>
      <c r="C27" s="1779"/>
      <c r="D27" s="1779"/>
      <c r="E27" s="1779"/>
      <c r="F27" s="1779"/>
      <c r="G27" s="1779"/>
      <c r="H27" s="1779"/>
      <c r="I27" s="1779"/>
      <c r="J27" s="1779"/>
      <c r="K27" s="1779"/>
      <c r="L27" s="1779"/>
      <c r="M27" s="1779"/>
      <c r="N27" s="1779"/>
      <c r="O27" s="1779"/>
      <c r="P27" s="1779"/>
    </row>
    <row r="28" spans="1:16" ht="13.8">
      <c r="A28" s="1778"/>
      <c r="B28" s="1781" t="s">
        <v>2335</v>
      </c>
      <c r="C28" s="1778"/>
      <c r="D28" s="1778"/>
      <c r="E28" s="1778"/>
      <c r="F28" s="1779"/>
      <c r="G28" s="1782" t="s">
        <v>5015</v>
      </c>
      <c r="H28" s="1778"/>
      <c r="I28" s="1778"/>
      <c r="J28" s="1778"/>
      <c r="K28" s="1778"/>
      <c r="L28" s="1779"/>
      <c r="M28" s="1778"/>
      <c r="N28" s="1778"/>
      <c r="O28" s="1778"/>
      <c r="P28" s="1783" t="s">
        <v>3739</v>
      </c>
    </row>
    <row r="29" spans="1:16" ht="14.25" customHeight="1">
      <c r="A29" s="1778"/>
      <c r="B29" s="1784" t="str">
        <f>'Part I-Project Information'!B6</f>
        <v>May 2019</v>
      </c>
      <c r="C29" s="1784">
        <f>'Part I-Project Information'!C6</f>
        <v>0</v>
      </c>
      <c r="D29" s="1784">
        <f>'Part I-Project Information'!D6</f>
        <v>0</v>
      </c>
      <c r="E29" s="1785"/>
      <c r="F29" s="1779"/>
      <c r="G29" s="1782" t="s">
        <v>5016</v>
      </c>
      <c r="H29" s="1779"/>
      <c r="I29" s="1779"/>
      <c r="J29" s="1779"/>
      <c r="K29" s="1778"/>
      <c r="L29" s="1778"/>
      <c r="M29" s="1778"/>
      <c r="N29" s="1778"/>
      <c r="O29" s="1778" t="str">
        <f>'Part I-Project Information'!$O$6</f>
        <v>2019-063</v>
      </c>
      <c r="P29" s="1778"/>
    </row>
    <row r="30" spans="1:16" ht="12.75" customHeight="1">
      <c r="A30" s="1778"/>
      <c r="B30" s="1784">
        <f>'Part I-Project Information'!B7</f>
        <v>0</v>
      </c>
      <c r="C30" s="1784">
        <f>'Part I-Project Information'!C7</f>
        <v>0</v>
      </c>
      <c r="D30" s="1784">
        <f>'Part I-Project Information'!D7</f>
        <v>0</v>
      </c>
      <c r="E30" s="1785"/>
      <c r="F30" s="1778"/>
      <c r="G30" s="1786" t="s">
        <v>3261</v>
      </c>
      <c r="H30" s="1779"/>
      <c r="I30" s="1779"/>
      <c r="J30" s="1779"/>
      <c r="K30" s="1778"/>
      <c r="L30" s="1778"/>
      <c r="M30" s="1778"/>
      <c r="N30" s="1778"/>
      <c r="O30" s="1778"/>
      <c r="P30" s="1778"/>
    </row>
    <row r="31" spans="1:16" ht="12.75" customHeight="1">
      <c r="A31" s="1779"/>
      <c r="B31" s="1784">
        <f>'Part I-Project Information'!B8</f>
        <v>0</v>
      </c>
      <c r="C31" s="1784">
        <f>'Part I-Project Information'!C8</f>
        <v>0</v>
      </c>
      <c r="D31" s="1784">
        <f>'Part I-Project Information'!D8</f>
        <v>0</v>
      </c>
      <c r="E31" s="1779"/>
      <c r="F31" s="1778"/>
      <c r="G31" s="1778"/>
      <c r="H31" s="1779"/>
      <c r="I31" s="1779"/>
      <c r="J31" s="1778"/>
      <c r="K31" s="1778"/>
      <c r="L31" s="1778"/>
      <c r="M31" s="1779"/>
      <c r="N31" s="1778"/>
      <c r="O31" s="1778"/>
      <c r="P31" s="1778"/>
    </row>
    <row r="32" spans="1:16" ht="13.8">
      <c r="A32" s="1778" t="s">
        <v>605</v>
      </c>
      <c r="B32" s="1778" t="s">
        <v>2346</v>
      </c>
      <c r="C32" s="1778"/>
      <c r="D32" s="1787"/>
      <c r="E32" s="1779"/>
      <c r="F32" s="1781" t="s">
        <v>3682</v>
      </c>
      <c r="G32" s="1778"/>
      <c r="H32" s="1778"/>
      <c r="I32" s="1788">
        <f>'Part I-Project Information'!I9</f>
        <v>858241</v>
      </c>
      <c r="J32" s="1788">
        <f>'Part I-Project Information'!J9</f>
        <v>0</v>
      </c>
      <c r="K32" s="1778"/>
      <c r="L32" s="1778" t="s">
        <v>3683</v>
      </c>
      <c r="M32" s="1778"/>
      <c r="N32" s="1778"/>
      <c r="O32" s="1789">
        <f>'Part I-Project Information'!O9</f>
        <v>0</v>
      </c>
      <c r="P32" s="1789">
        <f>'Part I-Project Information'!P9</f>
        <v>0</v>
      </c>
    </row>
    <row r="33" spans="1:16" ht="13.8">
      <c r="A33" s="1778"/>
      <c r="B33" s="1778"/>
      <c r="C33" s="1778"/>
      <c r="D33" s="1787"/>
      <c r="E33" s="1779"/>
      <c r="F33" s="1779"/>
      <c r="G33" s="1778"/>
      <c r="H33" s="1778"/>
      <c r="I33" s="1781"/>
      <c r="J33" s="1778"/>
      <c r="K33" s="1778"/>
      <c r="L33" s="1778"/>
      <c r="M33" s="1778"/>
      <c r="N33" s="1783"/>
      <c r="O33" s="1778"/>
      <c r="P33" s="1778"/>
    </row>
    <row r="34" spans="1:16" ht="13.8">
      <c r="A34" s="1781" t="s">
        <v>729</v>
      </c>
      <c r="B34" s="1778" t="s">
        <v>2014</v>
      </c>
      <c r="C34" s="1778"/>
      <c r="D34" s="1778"/>
      <c r="E34" s="1778"/>
      <c r="F34" s="1790" t="str">
        <f>'Part I-Project Information'!$F$11</f>
        <v>(Select an Application Type)</v>
      </c>
      <c r="G34" s="1790"/>
      <c r="H34" s="1790"/>
      <c r="I34" s="1791" t="s">
        <v>3613</v>
      </c>
      <c r="J34" s="1778" t="s">
        <v>5017</v>
      </c>
      <c r="K34" s="1778"/>
      <c r="L34" s="1779"/>
      <c r="M34" s="1778"/>
      <c r="N34" s="1778"/>
      <c r="O34" s="1778" t="str">
        <f>'Part I-Project Information'!$O$11</f>
        <v>2019PA-035</v>
      </c>
      <c r="P34" s="1778"/>
    </row>
    <row r="35" spans="1:16" ht="13.8">
      <c r="A35" s="1779"/>
      <c r="B35" s="1792"/>
      <c r="C35" s="1792"/>
      <c r="D35" s="1792"/>
      <c r="E35" s="1792"/>
      <c r="F35" s="1778"/>
      <c r="G35" s="1778"/>
      <c r="H35" s="1779"/>
      <c r="I35" s="1778"/>
      <c r="J35" s="1782" t="s">
        <v>4757</v>
      </c>
      <c r="K35" s="1781"/>
      <c r="L35" s="1778"/>
      <c r="M35" s="1779"/>
      <c r="N35" s="1778"/>
      <c r="O35" s="1778" t="str">
        <f>'Part I-Project Information'!$O$12</f>
        <v>No</v>
      </c>
      <c r="P35" s="1778"/>
    </row>
    <row r="36" spans="1:16" ht="13.8">
      <c r="A36" s="1779"/>
      <c r="B36" s="1792"/>
      <c r="C36" s="1792"/>
      <c r="D36" s="1792"/>
      <c r="E36" s="1792"/>
      <c r="F36" s="1778"/>
      <c r="G36" s="1778"/>
      <c r="H36" s="1779"/>
      <c r="I36" s="1778"/>
      <c r="J36" s="1781"/>
      <c r="K36" s="1781"/>
      <c r="L36" s="1778"/>
      <c r="M36" s="1779"/>
      <c r="N36" s="1778"/>
      <c r="O36" s="1778"/>
      <c r="P36" s="1778"/>
    </row>
    <row r="37" spans="1:16" ht="13.8">
      <c r="A37" s="1779"/>
      <c r="B37" s="1792" t="s">
        <v>4717</v>
      </c>
      <c r="C37" s="1792"/>
      <c r="D37" s="1792"/>
      <c r="E37" s="1792"/>
      <c r="F37" s="1793" t="str">
        <f>'Part I-Project Information'!F14</f>
        <v>No</v>
      </c>
      <c r="G37" s="1781" t="s">
        <v>4718</v>
      </c>
      <c r="H37" s="1778"/>
      <c r="I37" s="1778"/>
      <c r="J37" s="1778"/>
      <c r="K37" s="1778"/>
      <c r="L37" s="1778"/>
      <c r="M37" s="1778"/>
      <c r="N37" s="1790" t="str">
        <f>'Part I-Project Information'!N14</f>
        <v>&lt;&lt;Select previous Application Type&gt;&gt;</v>
      </c>
      <c r="O37" s="1790">
        <f>'Part I-Project Information'!O14</f>
        <v>0</v>
      </c>
      <c r="P37" s="1790">
        <f>'Part I-Project Information'!P14</f>
        <v>0</v>
      </c>
    </row>
    <row r="38" spans="1:16" ht="13.8">
      <c r="A38" s="1779"/>
      <c r="B38" s="1778" t="s">
        <v>3740</v>
      </c>
      <c r="C38" s="1778"/>
      <c r="D38" s="1778"/>
      <c r="E38" s="1778"/>
      <c r="F38" s="1794">
        <f>'Part I-Project Information'!F15</f>
        <v>0</v>
      </c>
      <c r="G38" s="1794">
        <f>'Part I-Project Information'!G15</f>
        <v>0</v>
      </c>
      <c r="H38" s="1794">
        <f>'Part I-Project Information'!H15</f>
        <v>0</v>
      </c>
      <c r="I38" s="1794">
        <f>'Part I-Project Information'!I15</f>
        <v>0</v>
      </c>
      <c r="J38" s="1794">
        <f>'Part I-Project Information'!J15</f>
        <v>0</v>
      </c>
      <c r="K38" s="1794">
        <f>'Part I-Project Information'!K15</f>
        <v>0</v>
      </c>
      <c r="L38" s="1778" t="s">
        <v>4704</v>
      </c>
      <c r="M38" s="1778"/>
      <c r="N38" s="1778"/>
      <c r="O38" s="1778">
        <f>'Part I-Project Information'!O15</f>
        <v>0</v>
      </c>
      <c r="P38" s="1778">
        <f>'Part I-Project Information'!P15</f>
        <v>0</v>
      </c>
    </row>
    <row r="39" spans="1:16" ht="13.8">
      <c r="A39" s="1779"/>
      <c r="B39" s="1778" t="s">
        <v>3681</v>
      </c>
      <c r="C39" s="1778"/>
      <c r="D39" s="1778"/>
      <c r="E39" s="1778"/>
      <c r="F39" s="1793">
        <f>'Part I-Project Information'!F16</f>
        <v>0</v>
      </c>
      <c r="G39" s="1778" t="s">
        <v>4705</v>
      </c>
      <c r="H39" s="1779"/>
      <c r="I39" s="1786"/>
      <c r="J39" s="1781"/>
      <c r="K39" s="1778"/>
      <c r="L39" s="1778"/>
      <c r="M39" s="1778"/>
      <c r="N39" s="1790" t="str">
        <f>'Part I-Project Information'!N16</f>
        <v>&lt;&lt; Select Designation &gt;&gt;</v>
      </c>
      <c r="O39" s="1790">
        <f>'Part I-Project Information'!O16</f>
        <v>0</v>
      </c>
      <c r="P39" s="1790">
        <f>'Part I-Project Information'!P16</f>
        <v>0</v>
      </c>
    </row>
    <row r="40" spans="1:16" ht="13.8">
      <c r="A40" s="1778"/>
      <c r="B40" s="1778"/>
      <c r="C40" s="1778"/>
      <c r="D40" s="1778"/>
      <c r="E40" s="1778"/>
      <c r="F40" s="1778"/>
      <c r="G40" s="1778"/>
      <c r="H40" s="1778"/>
      <c r="I40" s="1787"/>
      <c r="J40" s="1787"/>
      <c r="K40" s="1787"/>
      <c r="L40" s="1787"/>
      <c r="M40" s="1787"/>
      <c r="N40" s="1787"/>
      <c r="O40" s="1787"/>
      <c r="P40" s="1787"/>
    </row>
    <row r="41" spans="1:16" ht="13.8">
      <c r="A41" s="1781" t="s">
        <v>731</v>
      </c>
      <c r="B41" s="1778" t="s">
        <v>4268</v>
      </c>
      <c r="C41" s="1778"/>
      <c r="D41" s="1781"/>
      <c r="E41" s="1779"/>
      <c r="F41" s="1778"/>
      <c r="G41" s="1779"/>
      <c r="H41" s="1779"/>
      <c r="I41" s="1779"/>
      <c r="J41" s="1778"/>
      <c r="K41" s="1778"/>
      <c r="L41" s="1783"/>
      <c r="M41" s="1778"/>
      <c r="N41" s="1778"/>
      <c r="O41" s="1778"/>
      <c r="P41" s="1778"/>
    </row>
    <row r="42" spans="1:16" ht="13.8">
      <c r="A42" s="1781"/>
      <c r="B42" s="1779"/>
      <c r="C42" s="1778"/>
      <c r="D42" s="1781"/>
      <c r="E42" s="1779"/>
      <c r="F42" s="1778"/>
      <c r="G42" s="1779"/>
      <c r="H42" s="1779"/>
      <c r="I42" s="1779"/>
      <c r="J42" s="1778"/>
      <c r="K42" s="1783"/>
      <c r="L42" s="1783"/>
      <c r="M42" s="1778"/>
      <c r="N42" s="1778"/>
      <c r="O42" s="1779"/>
      <c r="P42" s="1778"/>
    </row>
    <row r="43" spans="1:16" ht="13.8">
      <c r="A43" s="1778"/>
      <c r="B43" s="1778" t="s">
        <v>3747</v>
      </c>
      <c r="C43" s="1778"/>
      <c r="D43" s="1778"/>
      <c r="E43" s="1778"/>
      <c r="F43" s="1778" t="str">
        <f>'Part I-Project Information'!F20</f>
        <v>Pennrose LLC</v>
      </c>
      <c r="G43" s="1778">
        <f>'Part I-Project Information'!G20</f>
        <v>0</v>
      </c>
      <c r="H43" s="1778">
        <f>'Part I-Project Information'!H20</f>
        <v>0</v>
      </c>
      <c r="I43" s="1778" t="s">
        <v>1775</v>
      </c>
      <c r="J43" s="1778" t="str">
        <f>'Part I-Project Information'!J20</f>
        <v>Mark Dambly</v>
      </c>
      <c r="K43" s="1778">
        <f>'Part I-Project Information'!K20</f>
        <v>0</v>
      </c>
      <c r="L43" s="1778">
        <f>'Part I-Project Information'!L20</f>
        <v>0</v>
      </c>
      <c r="M43" s="1781" t="s">
        <v>1954</v>
      </c>
      <c r="N43" s="1778" t="str">
        <f>'Part I-Project Information'!N20</f>
        <v>President</v>
      </c>
      <c r="O43" s="1778">
        <f>'Part I-Project Information'!O20</f>
        <v>0</v>
      </c>
      <c r="P43" s="1778">
        <f>'Part I-Project Information'!P20</f>
        <v>0</v>
      </c>
    </row>
    <row r="44" spans="1:16" ht="12.75" customHeight="1">
      <c r="A44" s="1778"/>
      <c r="B44" s="1781" t="s">
        <v>1955</v>
      </c>
      <c r="C44" s="1778"/>
      <c r="D44" s="1778"/>
      <c r="E44" s="1778"/>
      <c r="F44" s="1778" t="str">
        <f>'Part I-Project Information'!F21</f>
        <v>230 Wyoming Avenue</v>
      </c>
      <c r="G44" s="1778">
        <f>'Part I-Project Information'!G21</f>
        <v>0</v>
      </c>
      <c r="H44" s="1778">
        <f>'Part I-Project Information'!H21</f>
        <v>0</v>
      </c>
      <c r="I44" s="1778">
        <f>'Part I-Project Information'!I21</f>
        <v>0</v>
      </c>
      <c r="J44" s="1778">
        <f>'Part I-Project Information'!J21</f>
        <v>0</v>
      </c>
      <c r="K44" s="1778">
        <f>'Part I-Project Information'!K21</f>
        <v>0</v>
      </c>
      <c r="L44" s="1778">
        <f>'Part I-Project Information'!L21</f>
        <v>0</v>
      </c>
      <c r="M44" s="1795" t="s">
        <v>3746</v>
      </c>
      <c r="N44" s="1795"/>
      <c r="O44" s="1795"/>
      <c r="P44" s="1795"/>
    </row>
    <row r="45" spans="1:16" ht="12.75" customHeight="1">
      <c r="A45" s="1778"/>
      <c r="B45" s="1781" t="s">
        <v>607</v>
      </c>
      <c r="C45" s="1778"/>
      <c r="D45" s="1778"/>
      <c r="E45" s="1778"/>
      <c r="F45" s="1778" t="str">
        <f>'Part I-Project Information'!F22</f>
        <v>Kingston</v>
      </c>
      <c r="G45" s="1778">
        <f>'Part I-Project Information'!G22</f>
        <v>0</v>
      </c>
      <c r="H45" s="1778">
        <f>'Part I-Project Information'!H22</f>
        <v>0</v>
      </c>
      <c r="I45" s="1781" t="s">
        <v>1776</v>
      </c>
      <c r="J45" s="1796" t="str">
        <f>'Part I-Project Information'!J22</f>
        <v>PA</v>
      </c>
      <c r="K45" s="1778"/>
      <c r="L45" s="1778"/>
      <c r="M45" s="1795"/>
      <c r="N45" s="1795"/>
      <c r="O45" s="1795"/>
      <c r="P45" s="1795"/>
    </row>
    <row r="46" spans="1:16" ht="13.8">
      <c r="A46" s="1778"/>
      <c r="B46" s="1781" t="s">
        <v>2201</v>
      </c>
      <c r="C46" s="1778"/>
      <c r="D46" s="1778"/>
      <c r="E46" s="1778"/>
      <c r="F46" s="1797">
        <f>'Part I-Project Information'!F23</f>
        <v>187043535</v>
      </c>
      <c r="G46" s="1797">
        <f>'Part I-Project Information'!G23</f>
        <v>0</v>
      </c>
      <c r="H46" s="1797">
        <f>'Part I-Project Information'!H23</f>
        <v>0</v>
      </c>
      <c r="I46" s="1781" t="s">
        <v>1699</v>
      </c>
      <c r="J46" s="1798">
        <f>'Part I-Project Information'!J23</f>
        <v>2673868668</v>
      </c>
      <c r="K46" s="1798">
        <f>'Part I-Project Information'!K23</f>
        <v>0</v>
      </c>
      <c r="L46" s="1779" t="s">
        <v>1698</v>
      </c>
      <c r="M46" s="1779">
        <f>'Part I-Project Information'!M23</f>
        <v>0</v>
      </c>
      <c r="N46" s="1781" t="s">
        <v>1700</v>
      </c>
      <c r="O46" s="1798">
        <f>'Part I-Project Information'!O23</f>
        <v>2673868668</v>
      </c>
      <c r="P46" s="1798">
        <f>'Part I-Project Information'!P23</f>
        <v>0</v>
      </c>
    </row>
    <row r="47" spans="1:16" ht="13.8">
      <c r="A47" s="1778"/>
      <c r="B47" s="1781" t="s">
        <v>1958</v>
      </c>
      <c r="C47" s="1778"/>
      <c r="D47" s="1778"/>
      <c r="E47" s="1778"/>
      <c r="F47" s="1778" t="str">
        <f>'Part I-Project Information'!F24</f>
        <v>mdambly@pennrose.com</v>
      </c>
      <c r="G47" s="1778">
        <f>'Part I-Project Information'!G24</f>
        <v>0</v>
      </c>
      <c r="H47" s="1778">
        <f>'Part I-Project Information'!H24</f>
        <v>0</v>
      </c>
      <c r="I47" s="1778">
        <f>'Part I-Project Information'!I24</f>
        <v>0</v>
      </c>
      <c r="J47" s="1778">
        <f>'Part I-Project Information'!J24</f>
        <v>0</v>
      </c>
      <c r="K47" s="1778">
        <f>'Part I-Project Information'!K24</f>
        <v>0</v>
      </c>
      <c r="L47" s="1778"/>
      <c r="M47" s="1778"/>
      <c r="N47" s="1781" t="s">
        <v>1953</v>
      </c>
      <c r="O47" s="1798">
        <f>'Part I-Project Information'!O24</f>
        <v>2673868668</v>
      </c>
      <c r="P47" s="1798">
        <f>'Part I-Project Information'!P24</f>
        <v>0</v>
      </c>
    </row>
    <row r="48" spans="1:16" ht="13.8">
      <c r="A48" s="1779"/>
      <c r="B48" s="1778" t="s">
        <v>4267</v>
      </c>
      <c r="C48" s="1787"/>
      <c r="D48" s="1778"/>
      <c r="E48" s="1778"/>
      <c r="F48" s="1778"/>
      <c r="G48" s="1778"/>
      <c r="H48" s="1779"/>
      <c r="I48" s="1778"/>
      <c r="J48" s="1787"/>
      <c r="K48" s="1778"/>
      <c r="L48" s="1778"/>
      <c r="M48" s="1778"/>
      <c r="N48" s="1778"/>
      <c r="O48" s="1778"/>
      <c r="P48" s="1799"/>
    </row>
    <row r="49" spans="1:16" ht="13.8">
      <c r="A49" s="1778"/>
      <c r="B49" s="1778" t="s">
        <v>3747</v>
      </c>
      <c r="C49" s="1778"/>
      <c r="D49" s="1778"/>
      <c r="E49" s="1778"/>
      <c r="F49" s="1778" t="str">
        <f>'Part I-Project Information'!F26</f>
        <v>Pennrose LLC</v>
      </c>
      <c r="G49" s="1778">
        <f>'Part I-Project Information'!G26</f>
        <v>0</v>
      </c>
      <c r="H49" s="1778">
        <f>'Part I-Project Information'!H26</f>
        <v>0</v>
      </c>
      <c r="I49" s="1778" t="s">
        <v>1775</v>
      </c>
      <c r="J49" s="1778" t="str">
        <f>'Part I-Project Information'!J26</f>
        <v>Amon Martin</v>
      </c>
      <c r="K49" s="1778">
        <f>'Part I-Project Information'!K26</f>
        <v>0</v>
      </c>
      <c r="L49" s="1778">
        <f>'Part I-Project Information'!L26</f>
        <v>0</v>
      </c>
      <c r="M49" s="1781" t="s">
        <v>1954</v>
      </c>
      <c r="N49" s="1778" t="str">
        <f>'Part I-Project Information'!N26</f>
        <v>Senior Developer</v>
      </c>
      <c r="O49" s="1778">
        <f>'Part I-Project Information'!O26</f>
        <v>0</v>
      </c>
      <c r="P49" s="1778">
        <f>'Part I-Project Information'!P26</f>
        <v>0</v>
      </c>
    </row>
    <row r="50" spans="1:16" ht="12.75" customHeight="1">
      <c r="A50" s="1778"/>
      <c r="B50" s="1781" t="s">
        <v>1955</v>
      </c>
      <c r="C50" s="1778"/>
      <c r="D50" s="1778"/>
      <c r="E50" s="1778"/>
      <c r="F50" s="1778" t="str">
        <f>'Part I-Project Information'!F27</f>
        <v>675 Ponce de Leon Avenue, Suite 8500</v>
      </c>
      <c r="G50" s="1778">
        <f>'Part I-Project Information'!G27</f>
        <v>0</v>
      </c>
      <c r="H50" s="1778">
        <f>'Part I-Project Information'!H27</f>
        <v>0</v>
      </c>
      <c r="I50" s="1778">
        <f>'Part I-Project Information'!I27</f>
        <v>0</v>
      </c>
      <c r="J50" s="1778">
        <f>'Part I-Project Information'!J27</f>
        <v>0</v>
      </c>
      <c r="K50" s="1778">
        <f>'Part I-Project Information'!K27</f>
        <v>0</v>
      </c>
      <c r="L50" s="1778">
        <f>'Part I-Project Information'!L27</f>
        <v>0</v>
      </c>
      <c r="M50" s="1795" t="s">
        <v>3746</v>
      </c>
      <c r="N50" s="1795"/>
      <c r="O50" s="1795"/>
      <c r="P50" s="1795"/>
    </row>
    <row r="51" spans="1:16" ht="12.75" customHeight="1">
      <c r="A51" s="1778"/>
      <c r="B51" s="1781" t="s">
        <v>607</v>
      </c>
      <c r="C51" s="1778"/>
      <c r="D51" s="1778"/>
      <c r="E51" s="1778"/>
      <c r="F51" s="1778" t="str">
        <f>'Part I-Project Information'!F28</f>
        <v>Atlanta</v>
      </c>
      <c r="G51" s="1778">
        <f>'Part I-Project Information'!G28</f>
        <v>0</v>
      </c>
      <c r="H51" s="1778">
        <f>'Part I-Project Information'!H28</f>
        <v>0</v>
      </c>
      <c r="I51" s="1781" t="s">
        <v>1776</v>
      </c>
      <c r="J51" s="1796" t="str">
        <f>'Part I-Project Information'!J28</f>
        <v>GA</v>
      </c>
      <c r="K51" s="1778"/>
      <c r="L51" s="1778"/>
      <c r="M51" s="1795"/>
      <c r="N51" s="1795"/>
      <c r="O51" s="1795"/>
      <c r="P51" s="1795"/>
    </row>
    <row r="52" spans="1:16" ht="13.8">
      <c r="A52" s="1778"/>
      <c r="B52" s="1781" t="s">
        <v>2201</v>
      </c>
      <c r="C52" s="1778"/>
      <c r="D52" s="1778"/>
      <c r="E52" s="1778"/>
      <c r="F52" s="1797">
        <f>'Part I-Project Information'!F29</f>
        <v>303081884</v>
      </c>
      <c r="G52" s="1797">
        <f>'Part I-Project Information'!G29</f>
        <v>0</v>
      </c>
      <c r="H52" s="1797">
        <f>'Part I-Project Information'!H29</f>
        <v>0</v>
      </c>
      <c r="I52" s="1781" t="s">
        <v>1699</v>
      </c>
      <c r="J52" s="1798">
        <f>'Part I-Project Information'!J29</f>
        <v>4705852413</v>
      </c>
      <c r="K52" s="1798">
        <f>'Part I-Project Information'!K29</f>
        <v>0</v>
      </c>
      <c r="L52" s="1779" t="s">
        <v>1698</v>
      </c>
      <c r="M52" s="1779">
        <f>'Part I-Project Information'!M29</f>
        <v>0</v>
      </c>
      <c r="N52" s="1781" t="s">
        <v>1700</v>
      </c>
      <c r="O52" s="1798">
        <f>'Part I-Project Information'!O29</f>
        <v>4705852413</v>
      </c>
      <c r="P52" s="1798">
        <f>'Part I-Project Information'!P29</f>
        <v>0</v>
      </c>
    </row>
    <row r="53" spans="1:16" ht="13.8">
      <c r="A53" s="1778"/>
      <c r="B53" s="1781" t="s">
        <v>1958</v>
      </c>
      <c r="C53" s="1778"/>
      <c r="D53" s="1778"/>
      <c r="E53" s="1778"/>
      <c r="F53" s="1778" t="str">
        <f>'Part I-Project Information'!F30</f>
        <v xml:space="preserve">amartin@pennrose.com </v>
      </c>
      <c r="G53" s="1778">
        <f>'Part I-Project Information'!G30</f>
        <v>0</v>
      </c>
      <c r="H53" s="1778">
        <f>'Part I-Project Information'!H30</f>
        <v>0</v>
      </c>
      <c r="I53" s="1778">
        <f>'Part I-Project Information'!I30</f>
        <v>0</v>
      </c>
      <c r="J53" s="1778">
        <f>'Part I-Project Information'!J30</f>
        <v>0</v>
      </c>
      <c r="K53" s="1778">
        <f>'Part I-Project Information'!K30</f>
        <v>0</v>
      </c>
      <c r="L53" s="1778"/>
      <c r="M53" s="1778"/>
      <c r="N53" s="1781" t="s">
        <v>1953</v>
      </c>
      <c r="O53" s="1798">
        <f>'Part I-Project Information'!O30</f>
        <v>4705852413</v>
      </c>
      <c r="P53" s="1798">
        <f>'Part I-Project Information'!P30</f>
        <v>0</v>
      </c>
    </row>
    <row r="54" spans="1:16" ht="13.8">
      <c r="A54" s="1779"/>
      <c r="B54" s="1779"/>
      <c r="C54" s="1787"/>
      <c r="D54" s="1778"/>
      <c r="E54" s="1778"/>
      <c r="F54" s="1778"/>
      <c r="G54" s="1778"/>
      <c r="H54" s="1779"/>
      <c r="I54" s="1778"/>
      <c r="J54" s="1787"/>
      <c r="K54" s="1778"/>
      <c r="L54" s="1778"/>
      <c r="M54" s="1778"/>
      <c r="N54" s="1778"/>
      <c r="O54" s="1778"/>
      <c r="P54" s="1799"/>
    </row>
    <row r="55" spans="1:16" ht="13.8">
      <c r="A55" s="1781" t="s">
        <v>1770</v>
      </c>
      <c r="B55" s="1778" t="s">
        <v>1456</v>
      </c>
      <c r="C55" s="1778"/>
      <c r="D55" s="1787"/>
      <c r="E55" s="1779"/>
      <c r="F55" s="1779"/>
      <c r="G55" s="1781"/>
      <c r="H55" s="1779"/>
      <c r="I55" s="1779"/>
      <c r="J55" s="1779"/>
      <c r="K55" s="1778"/>
      <c r="L55" s="1783"/>
      <c r="M55" s="1783"/>
      <c r="N55" s="1778"/>
      <c r="O55" s="1778"/>
      <c r="P55" s="1778"/>
    </row>
    <row r="56" spans="1:16" ht="13.8">
      <c r="A56" s="1781"/>
      <c r="B56" s="1778"/>
      <c r="C56" s="1778"/>
      <c r="D56" s="1787"/>
      <c r="E56" s="1779"/>
      <c r="F56" s="1779"/>
      <c r="G56" s="1781"/>
      <c r="H56" s="1779"/>
      <c r="I56" s="1779"/>
      <c r="J56" s="1779"/>
      <c r="K56" s="1778"/>
      <c r="L56" s="1783"/>
      <c r="M56" s="1778"/>
      <c r="N56" s="1778"/>
      <c r="O56" s="1778"/>
      <c r="P56" s="1778"/>
    </row>
    <row r="57" spans="1:16" ht="13.8">
      <c r="A57" s="1778"/>
      <c r="B57" s="1778" t="s">
        <v>606</v>
      </c>
      <c r="C57" s="1778"/>
      <c r="D57" s="1778"/>
      <c r="E57" s="1778"/>
      <c r="F57" s="1794" t="str">
        <f>'Part I-Project Information'!F34</f>
        <v>Haven at South Atlanta</v>
      </c>
      <c r="G57" s="1794">
        <f>'Part I-Project Information'!G34</f>
        <v>0</v>
      </c>
      <c r="H57" s="1794">
        <f>'Part I-Project Information'!H34</f>
        <v>0</v>
      </c>
      <c r="I57" s="1794">
        <f>'Part I-Project Information'!I34</f>
        <v>0</v>
      </c>
      <c r="J57" s="1794">
        <f>'Part I-Project Information'!J34</f>
        <v>0</v>
      </c>
      <c r="K57" s="1794">
        <f>'Part I-Project Information'!K34</f>
        <v>0</v>
      </c>
      <c r="L57" s="1781" t="s">
        <v>2165</v>
      </c>
      <c r="M57" s="1778"/>
      <c r="N57" s="1778"/>
      <c r="O57" s="1778" t="str">
        <f>'Part I-Project Information'!O34</f>
        <v>No</v>
      </c>
      <c r="P57" s="1778">
        <f>'Part I-Project Information'!P34</f>
        <v>0</v>
      </c>
    </row>
    <row r="58" spans="1:16" ht="13.8">
      <c r="A58" s="1783"/>
      <c r="B58" s="1778" t="s">
        <v>2661</v>
      </c>
      <c r="C58" s="1778"/>
      <c r="D58" s="1783"/>
      <c r="E58" s="1778"/>
      <c r="F58" s="1794" t="str">
        <f>'Part I-Project Information'!F35</f>
        <v>57 Hardwick Street SE</v>
      </c>
      <c r="G58" s="1794">
        <f>'Part I-Project Information'!G35</f>
        <v>0</v>
      </c>
      <c r="H58" s="1794">
        <f>'Part I-Project Information'!H35</f>
        <v>0</v>
      </c>
      <c r="I58" s="1794">
        <f>'Part I-Project Information'!I35</f>
        <v>0</v>
      </c>
      <c r="J58" s="1794">
        <f>'Part I-Project Information'!J35</f>
        <v>0</v>
      </c>
      <c r="K58" s="1794">
        <f>'Part I-Project Information'!K35</f>
        <v>0</v>
      </c>
      <c r="L58" s="1778" t="s">
        <v>3583</v>
      </c>
      <c r="M58" s="1778"/>
      <c r="N58" s="1778"/>
      <c r="O58" s="1778">
        <f>'Part I-Project Information'!O35</f>
        <v>0</v>
      </c>
      <c r="P58" s="1778">
        <f>'Part I-Project Information'!P35</f>
        <v>0</v>
      </c>
    </row>
    <row r="59" spans="1:16" ht="13.8">
      <c r="A59" s="1783"/>
      <c r="B59" s="1778" t="s">
        <v>4758</v>
      </c>
      <c r="C59" s="1778"/>
      <c r="D59" s="1783"/>
      <c r="E59" s="1778"/>
      <c r="F59" s="1794">
        <f>'Part I-Project Information'!F36</f>
        <v>0</v>
      </c>
      <c r="G59" s="1794">
        <f>'Part I-Project Information'!G36</f>
        <v>0</v>
      </c>
      <c r="H59" s="1794">
        <f>'Part I-Project Information'!H36</f>
        <v>0</v>
      </c>
      <c r="I59" s="1794">
        <f>'Part I-Project Information'!I36</f>
        <v>0</v>
      </c>
      <c r="J59" s="1794">
        <f>'Part I-Project Information'!J36</f>
        <v>0</v>
      </c>
      <c r="K59" s="1794">
        <f>'Part I-Project Information'!K36</f>
        <v>0</v>
      </c>
      <c r="L59" s="1781" t="s">
        <v>2024</v>
      </c>
      <c r="M59" s="1778"/>
      <c r="N59" s="1779" t="str">
        <f>'Part I-Project Information'!N36</f>
        <v>No</v>
      </c>
      <c r="O59" s="1779" t="s">
        <v>3582</v>
      </c>
      <c r="P59" s="1779">
        <f>'Part I-Project Information'!P36</f>
        <v>0</v>
      </c>
    </row>
    <row r="60" spans="1:16" ht="13.8">
      <c r="A60" s="1783"/>
      <c r="B60" s="1778" t="s">
        <v>3631</v>
      </c>
      <c r="C60" s="1778"/>
      <c r="D60" s="1783"/>
      <c r="E60" s="1778"/>
      <c r="F60" s="1778" t="s">
        <v>3614</v>
      </c>
      <c r="G60" s="1800">
        <f>'Part I-Project Information'!G37</f>
        <v>33.709698000000003</v>
      </c>
      <c r="H60" s="1800">
        <f>'Part I-Project Information'!H37</f>
        <v>0</v>
      </c>
      <c r="I60" s="1779" t="s">
        <v>3615</v>
      </c>
      <c r="J60" s="1800">
        <f>'Part I-Project Information'!J37</f>
        <v>-84.384882000000005</v>
      </c>
      <c r="K60" s="1800">
        <f>'Part I-Project Information'!K37</f>
        <v>0</v>
      </c>
      <c r="L60" s="1781" t="s">
        <v>2254</v>
      </c>
      <c r="M60" s="1778"/>
      <c r="N60" s="1778"/>
      <c r="O60" s="1801">
        <f>'Part I-Project Information'!O37</f>
        <v>3.8856000000000002</v>
      </c>
      <c r="P60" s="1801">
        <f>'Part I-Project Information'!P37</f>
        <v>0</v>
      </c>
    </row>
    <row r="61" spans="1:16" ht="14.4">
      <c r="A61" s="1779"/>
      <c r="B61" s="1778" t="s">
        <v>607</v>
      </c>
      <c r="C61" s="1778"/>
      <c r="D61" s="1778"/>
      <c r="E61" s="1778"/>
      <c r="F61" s="1778" t="str">
        <f>'Part I-Project Information'!F38</f>
        <v>Atlanta</v>
      </c>
      <c r="G61" s="1778">
        <f>'Part I-Project Information'!G38</f>
        <v>0</v>
      </c>
      <c r="H61" s="1778">
        <f>'Part I-Project Information'!H38</f>
        <v>0</v>
      </c>
      <c r="I61" s="1802" t="s">
        <v>5018</v>
      </c>
      <c r="J61" s="1797">
        <f>'Part I-Project Information'!J38</f>
        <v>303150000</v>
      </c>
      <c r="K61" s="1797">
        <f>'Part I-Project Information'!K38</f>
        <v>0</v>
      </c>
      <c r="L61" s="1778" t="str">
        <f>IF(AND(NOT(F57=""),NOT(F61="Select from list"),J61=""),"Enter Zip!","")</f>
        <v/>
      </c>
      <c r="M61" s="1803" t="s">
        <v>2849</v>
      </c>
      <c r="N61" s="1778"/>
      <c r="O61" s="1804" t="str">
        <f>'Part I-Project Information'!O38</f>
        <v>0067.00</v>
      </c>
      <c r="P61" s="1805">
        <f>'Part I-Project Information'!P38</f>
        <v>0</v>
      </c>
    </row>
    <row r="62" spans="1:16" ht="13.8">
      <c r="A62" s="1779"/>
      <c r="B62" s="1778" t="s">
        <v>3497</v>
      </c>
      <c r="C62" s="1778"/>
      <c r="D62" s="1778"/>
      <c r="E62" s="1778"/>
      <c r="F62" s="1778" t="str">
        <f>'Part I-Project Information'!F39</f>
        <v>Within City Limits</v>
      </c>
      <c r="G62" s="1778">
        <f>'Part I-Project Information'!G39</f>
        <v>0</v>
      </c>
      <c r="H62" s="1778">
        <f>'Part I-Project Information'!H39</f>
        <v>0</v>
      </c>
      <c r="I62" s="1806" t="s">
        <v>608</v>
      </c>
      <c r="J62" s="1794" t="str">
        <f>'Part I-Project Information'!J39</f>
        <v>Fulton</v>
      </c>
      <c r="K62" s="1794"/>
      <c r="L62" s="1778"/>
      <c r="M62" s="1781" t="s">
        <v>447</v>
      </c>
      <c r="N62" s="1807" t="str">
        <f>'Part I-Project Information'!N39</f>
        <v>Yes</v>
      </c>
      <c r="O62" s="1779" t="s">
        <v>448</v>
      </c>
      <c r="P62" s="1807" t="str">
        <f>'Part I-Project Information'!P39</f>
        <v>No</v>
      </c>
    </row>
    <row r="63" spans="1:16" ht="13.8">
      <c r="A63" s="1779"/>
      <c r="B63" s="1778"/>
      <c r="C63" s="1778" t="s">
        <v>1539</v>
      </c>
      <c r="D63" s="1778"/>
      <c r="E63" s="1778"/>
      <c r="F63" s="1781" t="str">
        <f>'Part I-Project Information'!F40</f>
        <v>No</v>
      </c>
      <c r="G63" s="1778" t="s">
        <v>2735</v>
      </c>
      <c r="H63" s="1778"/>
      <c r="I63" s="1779" t="str">
        <f>'Part I-Project Information'!I40</f>
        <v>No</v>
      </c>
      <c r="J63" s="1779" t="s">
        <v>2753</v>
      </c>
      <c r="K63" s="1779" t="str">
        <f>'Part I-Project Information'!K40</f>
        <v>Urban</v>
      </c>
      <c r="L63" s="1778"/>
      <c r="M63" s="1781" t="s">
        <v>2577</v>
      </c>
      <c r="N63" s="1779" t="str">
        <f>'Part I-Project Information'!N40</f>
        <v>MSA</v>
      </c>
      <c r="O63" s="1778" t="str">
        <f>'Part I-Project Information'!O40</f>
        <v>Atlanta-Sandy Springs-Marietta</v>
      </c>
      <c r="P63" s="1778">
        <f>'Part I-Project Information'!P40</f>
        <v>0</v>
      </c>
    </row>
    <row r="64" spans="1:16" ht="13.8">
      <c r="A64" s="1779"/>
      <c r="B64" s="1778"/>
      <c r="C64" s="1778"/>
      <c r="D64" s="1778"/>
      <c r="E64" s="1778"/>
      <c r="F64" s="1778"/>
      <c r="G64" s="1778"/>
      <c r="H64" s="1778"/>
      <c r="I64" s="1781"/>
      <c r="J64" s="1778"/>
      <c r="K64" s="1778"/>
      <c r="L64" s="1807"/>
      <c r="M64" s="1807"/>
      <c r="N64" s="1807"/>
      <c r="O64" s="1807"/>
      <c r="P64" s="1807"/>
    </row>
    <row r="65" spans="1:16" ht="13.8">
      <c r="A65" s="1779"/>
      <c r="B65" s="1778"/>
      <c r="C65" s="1778" t="s">
        <v>5019</v>
      </c>
      <c r="D65" s="1778"/>
      <c r="E65" s="1778"/>
      <c r="F65" s="1792" t="s">
        <v>2717</v>
      </c>
      <c r="G65" s="1792"/>
      <c r="H65" s="1778" t="s">
        <v>725</v>
      </c>
      <c r="I65" s="1778"/>
      <c r="J65" s="1778" t="s">
        <v>726</v>
      </c>
      <c r="K65" s="1778"/>
      <c r="L65" s="1808" t="s">
        <v>5020</v>
      </c>
      <c r="M65" s="1778"/>
      <c r="N65" s="1778"/>
      <c r="O65" s="1778"/>
      <c r="P65" s="1778"/>
    </row>
    <row r="66" spans="1:16" ht="13.8">
      <c r="A66" s="1779"/>
      <c r="B66" s="1778" t="s">
        <v>4759</v>
      </c>
      <c r="C66" s="1778"/>
      <c r="D66" s="1778"/>
      <c r="E66" s="1778"/>
      <c r="F66" s="1809">
        <f>'Part I-Project Information'!F43</f>
        <v>5</v>
      </c>
      <c r="G66" s="1809">
        <f>'Part I-Project Information'!G43</f>
        <v>0</v>
      </c>
      <c r="H66" s="1809">
        <f>'Part I-Project Information'!H43</f>
        <v>36</v>
      </c>
      <c r="I66" s="1809">
        <f>'Part I-Project Information'!I43</f>
        <v>0</v>
      </c>
      <c r="J66" s="1809">
        <f>'Part I-Project Information'!J43</f>
        <v>59</v>
      </c>
      <c r="K66" s="1809">
        <f>'Part I-Project Information'!K43</f>
        <v>0</v>
      </c>
      <c r="L66" s="1786" t="s">
        <v>1268</v>
      </c>
      <c r="M66" s="1778"/>
      <c r="N66" s="1810" t="s">
        <v>1269</v>
      </c>
      <c r="O66" s="1810"/>
      <c r="P66" s="1810"/>
    </row>
    <row r="67" spans="1:16" ht="13.8">
      <c r="A67" s="1779"/>
      <c r="B67" s="1781" t="s">
        <v>727</v>
      </c>
      <c r="C67" s="1778"/>
      <c r="D67" s="1778"/>
      <c r="E67" s="1778"/>
      <c r="F67" s="1809">
        <f>'Part I-Project Information'!F44</f>
        <v>0</v>
      </c>
      <c r="G67" s="1809">
        <f>'Part I-Project Information'!G44</f>
        <v>0</v>
      </c>
      <c r="H67" s="1809">
        <f>'Part I-Project Information'!H44</f>
        <v>0</v>
      </c>
      <c r="I67" s="1809">
        <f>'Part I-Project Information'!I44</f>
        <v>0</v>
      </c>
      <c r="J67" s="1809">
        <f>'Part I-Project Information'!J44</f>
        <v>0</v>
      </c>
      <c r="K67" s="1809">
        <f>'Part I-Project Information'!K44</f>
        <v>0</v>
      </c>
      <c r="L67" s="1786" t="s">
        <v>2715</v>
      </c>
      <c r="M67" s="1778"/>
      <c r="N67" s="1811" t="s">
        <v>2714</v>
      </c>
      <c r="O67" s="1811"/>
      <c r="P67" s="1778"/>
    </row>
    <row r="68" spans="1:16" ht="13.8">
      <c r="A68" s="1779"/>
      <c r="B68" s="1778"/>
      <c r="C68" s="1778"/>
      <c r="D68" s="1778"/>
      <c r="E68" s="1778"/>
      <c r="F68" s="1778"/>
      <c r="G68" s="1778"/>
      <c r="H68" s="1778"/>
      <c r="I68" s="1807"/>
      <c r="J68" s="1807"/>
      <c r="K68" s="1807"/>
      <c r="L68" s="1778"/>
      <c r="M68" s="1778"/>
      <c r="N68" s="1778"/>
      <c r="O68" s="1778"/>
      <c r="P68" s="1778"/>
    </row>
    <row r="69" spans="1:16" ht="13.8">
      <c r="A69" s="1779"/>
      <c r="B69" s="1778" t="s">
        <v>626</v>
      </c>
      <c r="C69" s="1778"/>
      <c r="D69" s="1778"/>
      <c r="E69" s="1778"/>
      <c r="F69" s="1812" t="str">
        <f>'Part I-Project Information'!F46</f>
        <v>City of Atlanta</v>
      </c>
      <c r="G69" s="1812">
        <f>'Part I-Project Information'!G46</f>
        <v>0</v>
      </c>
      <c r="H69" s="1812">
        <f>'Part I-Project Information'!H46</f>
        <v>0</v>
      </c>
      <c r="I69" s="1812">
        <f>'Part I-Project Information'!I46</f>
        <v>0</v>
      </c>
      <c r="J69" s="1812">
        <f>'Part I-Project Information'!J46</f>
        <v>0</v>
      </c>
      <c r="K69" s="1812">
        <f>'Part I-Project Information'!K46</f>
        <v>0</v>
      </c>
      <c r="L69" s="1813" t="s">
        <v>2666</v>
      </c>
      <c r="M69" s="1778" t="str">
        <f>'Part I-Project Information'!M46</f>
        <v>www.atlantaga.gov</v>
      </c>
      <c r="N69" s="1778">
        <f>'Part I-Project Information'!N46</f>
        <v>0</v>
      </c>
      <c r="O69" s="1778">
        <f>'Part I-Project Information'!O46</f>
        <v>0</v>
      </c>
      <c r="P69" s="1778">
        <f>'Part I-Project Information'!P46</f>
        <v>0</v>
      </c>
    </row>
    <row r="70" spans="1:16" ht="13.8">
      <c r="A70" s="1779"/>
      <c r="B70" s="1778" t="s">
        <v>627</v>
      </c>
      <c r="C70" s="1778"/>
      <c r="D70" s="1778"/>
      <c r="E70" s="1778"/>
      <c r="F70" s="1812" t="str">
        <f>'Part I-Project Information'!F47</f>
        <v>Keisha Lance Bottoms</v>
      </c>
      <c r="G70" s="1812">
        <f>'Part I-Project Information'!G47</f>
        <v>0</v>
      </c>
      <c r="H70" s="1812">
        <f>'Part I-Project Information'!H47</f>
        <v>0</v>
      </c>
      <c r="I70" s="1779" t="s">
        <v>1954</v>
      </c>
      <c r="J70" s="1778" t="str">
        <f>'Part I-Project Information'!J47</f>
        <v>Mayor</v>
      </c>
      <c r="K70" s="1778">
        <f>'Part I-Project Information'!K47</f>
        <v>0</v>
      </c>
      <c r="L70" s="1813"/>
      <c r="M70" s="1778"/>
      <c r="N70" s="1778"/>
      <c r="O70" s="1778"/>
      <c r="P70" s="1778"/>
    </row>
    <row r="71" spans="1:16" ht="13.8">
      <c r="A71" s="1779"/>
      <c r="B71" s="1778" t="s">
        <v>1955</v>
      </c>
      <c r="C71" s="1778"/>
      <c r="D71" s="1778"/>
      <c r="E71" s="1778"/>
      <c r="F71" s="1812" t="str">
        <f>'Part I-Project Information'!F48</f>
        <v>55 Trinity Avenue</v>
      </c>
      <c r="G71" s="1812">
        <f>'Part I-Project Information'!G48</f>
        <v>0</v>
      </c>
      <c r="H71" s="1812">
        <f>'Part I-Project Information'!H48</f>
        <v>0</v>
      </c>
      <c r="I71" s="1812">
        <f>'Part I-Project Information'!I48</f>
        <v>0</v>
      </c>
      <c r="J71" s="1812">
        <f>'Part I-Project Information'!J48</f>
        <v>0</v>
      </c>
      <c r="K71" s="1812">
        <f>'Part I-Project Information'!K48</f>
        <v>0</v>
      </c>
      <c r="L71" s="1781" t="s">
        <v>607</v>
      </c>
      <c r="M71" s="1812" t="str">
        <f>'Part I-Project Information'!M48</f>
        <v>Atlanta</v>
      </c>
      <c r="N71" s="1812">
        <f>'Part I-Project Information'!N48</f>
        <v>0</v>
      </c>
      <c r="O71" s="1812">
        <f>'Part I-Project Information'!O48</f>
        <v>0</v>
      </c>
      <c r="P71" s="1812">
        <f>'Part I-Project Information'!P48</f>
        <v>0</v>
      </c>
    </row>
    <row r="72" spans="1:16" ht="13.8">
      <c r="A72" s="1779"/>
      <c r="B72" s="1781" t="s">
        <v>2201</v>
      </c>
      <c r="C72" s="1778"/>
      <c r="D72" s="1778"/>
      <c r="E72" s="1778"/>
      <c r="F72" s="1797">
        <f>'Part I-Project Information'!F49</f>
        <v>303033520</v>
      </c>
      <c r="G72" s="1797">
        <f>'Part I-Project Information'!G49</f>
        <v>0</v>
      </c>
      <c r="H72" s="1779" t="s">
        <v>1956</v>
      </c>
      <c r="I72" s="1798">
        <f>'Part I-Project Information'!I49</f>
        <v>4043306004</v>
      </c>
      <c r="J72" s="1798">
        <f>'Part I-Project Information'!J49</f>
        <v>0</v>
      </c>
      <c r="K72" s="1798">
        <f>'Part I-Project Information'!K49</f>
        <v>0</v>
      </c>
      <c r="L72" s="1781" t="s">
        <v>1777</v>
      </c>
      <c r="M72" s="1812" t="str">
        <f>'Part I-Project Information'!M49</f>
        <v>communications@atlantaga.gov</v>
      </c>
      <c r="N72" s="1812">
        <f>'Part I-Project Information'!N49</f>
        <v>0</v>
      </c>
      <c r="O72" s="1812">
        <f>'Part I-Project Information'!O49</f>
        <v>0</v>
      </c>
      <c r="P72" s="1812">
        <f>'Part I-Project Information'!P49</f>
        <v>0</v>
      </c>
    </row>
    <row r="73" spans="1:16" ht="13.8">
      <c r="A73" s="1779"/>
      <c r="B73" s="1779"/>
      <c r="C73" s="1802"/>
      <c r="D73" s="1802"/>
      <c r="E73" s="1802"/>
      <c r="F73" s="1779"/>
      <c r="G73" s="1779"/>
      <c r="H73" s="1779"/>
      <c r="I73" s="1779"/>
      <c r="J73" s="1802"/>
      <c r="K73" s="1779"/>
      <c r="L73" s="1779"/>
      <c r="M73" s="1778"/>
      <c r="N73" s="1778"/>
      <c r="O73" s="1778"/>
      <c r="P73" s="1799"/>
    </row>
    <row r="74" spans="1:16" ht="13.8">
      <c r="A74" s="1781" t="s">
        <v>1772</v>
      </c>
      <c r="B74" s="1778" t="s">
        <v>1457</v>
      </c>
      <c r="C74" s="1778"/>
      <c r="D74" s="1778"/>
      <c r="E74" s="1778"/>
      <c r="F74" s="1814"/>
      <c r="G74" s="1778"/>
      <c r="H74" s="1778"/>
      <c r="I74" s="1781"/>
      <c r="J74" s="1778"/>
      <c r="K74" s="1778"/>
      <c r="L74" s="1778"/>
      <c r="M74" s="1778"/>
      <c r="N74" s="1778"/>
      <c r="O74" s="1778"/>
      <c r="P74" s="1778"/>
    </row>
    <row r="75" spans="1:16" ht="13.8">
      <c r="A75" s="1779"/>
      <c r="B75" s="1778"/>
      <c r="C75" s="1778"/>
      <c r="D75" s="1778"/>
      <c r="E75" s="1778"/>
      <c r="F75" s="1778"/>
      <c r="G75" s="1778"/>
      <c r="H75" s="1778"/>
      <c r="I75" s="1781"/>
      <c r="J75" s="1778"/>
      <c r="K75" s="1778"/>
      <c r="L75" s="1778"/>
      <c r="M75" s="1778"/>
      <c r="N75" s="1778"/>
      <c r="O75" s="1778"/>
      <c r="P75" s="1778"/>
    </row>
    <row r="76" spans="1:16" ht="13.8">
      <c r="A76" s="1779"/>
      <c r="B76" s="1779" t="s">
        <v>1957</v>
      </c>
      <c r="C76" s="1778" t="s">
        <v>4760</v>
      </c>
      <c r="D76" s="1778"/>
      <c r="E76" s="1778"/>
      <c r="F76" s="1778"/>
      <c r="G76" s="1778"/>
      <c r="H76" s="1778"/>
      <c r="I76" s="1778"/>
      <c r="J76" s="1778"/>
      <c r="K76" s="1786"/>
      <c r="L76" s="1778"/>
      <c r="M76" s="1810"/>
      <c r="N76" s="1810"/>
      <c r="O76" s="1810"/>
      <c r="P76" s="1810"/>
    </row>
    <row r="77" spans="1:16" ht="13.8">
      <c r="A77" s="1787"/>
      <c r="B77" s="1779"/>
      <c r="C77" s="1778" t="s">
        <v>2266</v>
      </c>
      <c r="D77" s="1778"/>
      <c r="E77" s="1778"/>
      <c r="F77" s="1787"/>
      <c r="G77" s="1787"/>
      <c r="H77" s="1815">
        <f>'Part VI-Revenues &amp; Expenses'!$O$103</f>
        <v>84</v>
      </c>
      <c r="I77" s="1787"/>
      <c r="J77" s="1787"/>
      <c r="K77" s="1781" t="s">
        <v>3574</v>
      </c>
      <c r="L77" s="1778"/>
      <c r="M77" s="1816" t="s">
        <v>3573</v>
      </c>
      <c r="N77" s="1815">
        <f>'Part VI-Revenues &amp; Expenses'!$O$110</f>
        <v>0</v>
      </c>
      <c r="O77" s="1817" t="s">
        <v>3300</v>
      </c>
      <c r="P77" s="1815">
        <f>'Part VI-Revenues &amp; Expenses'!$O$111</f>
        <v>0</v>
      </c>
    </row>
    <row r="78" spans="1:16" ht="13.8">
      <c r="A78" s="1779"/>
      <c r="B78" s="1779"/>
      <c r="C78" s="1818" t="s">
        <v>344</v>
      </c>
      <c r="D78" s="1778"/>
      <c r="E78" s="1778"/>
      <c r="F78" s="1778"/>
      <c r="G78" s="1778"/>
      <c r="H78" s="1815">
        <f>'Part VI-Revenues &amp; Expenses'!$O$109</f>
        <v>0</v>
      </c>
      <c r="I78" s="1778"/>
      <c r="J78" s="1778"/>
      <c r="K78" s="1818" t="s">
        <v>363</v>
      </c>
      <c r="L78" s="1778"/>
      <c r="M78" s="1778"/>
      <c r="N78" s="1778"/>
      <c r="O78" s="1778"/>
      <c r="P78" s="1815">
        <f>'Part VI-Revenues &amp; Expenses'!$O$113</f>
        <v>0</v>
      </c>
    </row>
    <row r="79" spans="1:16" ht="13.8">
      <c r="A79" s="1778"/>
      <c r="B79" s="1779"/>
      <c r="C79" s="1781" t="s">
        <v>343</v>
      </c>
      <c r="D79" s="1778"/>
      <c r="E79" s="1778"/>
      <c r="F79" s="1778"/>
      <c r="G79" s="1778"/>
      <c r="H79" s="1815">
        <f>'Part VI-Revenues &amp; Expenses'!$O$106</f>
        <v>0</v>
      </c>
      <c r="I79" s="1819" t="s">
        <v>2853</v>
      </c>
      <c r="J79" s="1778"/>
      <c r="K79" s="1778" t="s">
        <v>345</v>
      </c>
      <c r="L79" s="1778"/>
      <c r="M79" s="1778"/>
      <c r="N79" s="1778"/>
      <c r="O79" s="1778"/>
      <c r="P79" s="1820">
        <f>'Part I-Project Information'!P56</f>
        <v>0</v>
      </c>
    </row>
    <row r="80" spans="1:16" ht="13.8">
      <c r="A80" s="1779"/>
      <c r="B80" s="1778"/>
      <c r="C80" s="1778"/>
      <c r="D80" s="1778"/>
      <c r="E80" s="1778"/>
      <c r="F80" s="1778"/>
      <c r="G80" s="1778"/>
      <c r="H80" s="1778"/>
      <c r="I80" s="1778"/>
      <c r="J80" s="1778"/>
      <c r="K80" s="1778"/>
      <c r="L80" s="1778"/>
      <c r="M80" s="1778"/>
      <c r="N80" s="1778"/>
      <c r="O80" s="1778"/>
      <c r="P80" s="1778"/>
    </row>
    <row r="81" spans="1:16" ht="13.8">
      <c r="A81" s="1779"/>
      <c r="B81" s="1779" t="s">
        <v>1959</v>
      </c>
      <c r="C81" s="1778" t="s">
        <v>2267</v>
      </c>
      <c r="D81" s="1778"/>
      <c r="E81" s="1778"/>
      <c r="F81" s="1778"/>
      <c r="G81" s="1778"/>
      <c r="H81" s="1779" t="str">
        <f>'Part I-Project Information'!H58</f>
        <v>No</v>
      </c>
      <c r="I81" s="1778"/>
      <c r="J81" s="1778"/>
      <c r="K81" s="1778"/>
      <c r="L81" s="1778"/>
      <c r="M81" s="1778"/>
      <c r="N81" s="1778"/>
      <c r="O81" s="1810"/>
      <c r="P81" s="1786"/>
    </row>
    <row r="82" spans="1:16" ht="13.8">
      <c r="A82" s="1779"/>
      <c r="B82" s="1778"/>
      <c r="C82" s="1778"/>
      <c r="D82" s="1778"/>
      <c r="E82" s="1778"/>
      <c r="F82" s="1778"/>
      <c r="G82" s="1778"/>
      <c r="H82" s="1778"/>
      <c r="I82" s="1778"/>
      <c r="J82" s="1786"/>
      <c r="K82" s="1821"/>
      <c r="L82" s="1786"/>
      <c r="M82" s="1821"/>
      <c r="N82" s="1821"/>
      <c r="O82" s="1821"/>
      <c r="P82" s="1821"/>
    </row>
    <row r="83" spans="1:16" ht="13.8">
      <c r="A83" s="1779"/>
      <c r="B83" s="1783" t="s">
        <v>738</v>
      </c>
      <c r="C83" s="1778" t="s">
        <v>2247</v>
      </c>
      <c r="D83" s="1778"/>
      <c r="E83" s="1778"/>
      <c r="F83" s="1778"/>
      <c r="G83" s="1778"/>
      <c r="H83" s="1778"/>
      <c r="I83" s="1822" t="s">
        <v>3494</v>
      </c>
      <c r="J83" s="1783" t="s">
        <v>2088</v>
      </c>
      <c r="K83" s="1787" t="s">
        <v>2273</v>
      </c>
      <c r="L83" s="1778"/>
      <c r="M83" s="1778"/>
      <c r="N83" s="1778"/>
      <c r="O83" s="1778"/>
      <c r="P83" s="1779"/>
    </row>
    <row r="84" spans="1:16" ht="13.8">
      <c r="A84" s="1779"/>
      <c r="B84" s="1796"/>
      <c r="C84" s="1787" t="s">
        <v>2248</v>
      </c>
      <c r="D84" s="1778"/>
      <c r="E84" s="1778"/>
      <c r="F84" s="1778"/>
      <c r="G84" s="1778"/>
      <c r="H84" s="1823">
        <f>SUM(H85:H91)</f>
        <v>71</v>
      </c>
      <c r="I84" s="1823">
        <f>SUM(I85:I91)</f>
        <v>0</v>
      </c>
      <c r="J84" s="1779"/>
      <c r="K84" s="1787" t="s">
        <v>2727</v>
      </c>
      <c r="L84" s="1778"/>
      <c r="M84" s="1778"/>
      <c r="N84" s="1778"/>
      <c r="O84" s="1778"/>
      <c r="P84" s="1823">
        <f>SUM(P85:P91)</f>
        <v>62730</v>
      </c>
    </row>
    <row r="85" spans="1:16" ht="13.8">
      <c r="A85" s="1779"/>
      <c r="B85" s="1796"/>
      <c r="C85" s="1787"/>
      <c r="D85" s="1792" t="s">
        <v>4382</v>
      </c>
      <c r="E85" s="1778"/>
      <c r="F85" s="1778"/>
      <c r="G85" s="1778"/>
      <c r="H85" s="1823">
        <f>'Part VI-Revenues &amp; Expenses'!$O56</f>
        <v>0</v>
      </c>
      <c r="I85" s="1823">
        <f>'Part VI-Revenues &amp; Expenses'!$O81</f>
        <v>0</v>
      </c>
      <c r="J85" s="1779"/>
      <c r="K85" s="1787"/>
      <c r="L85" s="1792" t="s">
        <v>4382</v>
      </c>
      <c r="M85" s="1778"/>
      <c r="N85" s="1778"/>
      <c r="O85" s="1778"/>
      <c r="P85" s="1823">
        <f>'Part VI-Revenues &amp; Expenses'!$O145</f>
        <v>0</v>
      </c>
    </row>
    <row r="86" spans="1:16" ht="13.8">
      <c r="A86" s="1779"/>
      <c r="B86" s="1796"/>
      <c r="C86" s="1787"/>
      <c r="D86" s="1792" t="s">
        <v>4383</v>
      </c>
      <c r="E86" s="1778"/>
      <c r="F86" s="1778"/>
      <c r="G86" s="1778"/>
      <c r="H86" s="1823">
        <f>'Part VI-Revenues &amp; Expenses'!$O57</f>
        <v>0</v>
      </c>
      <c r="I86" s="1823">
        <f>'Part VI-Revenues &amp; Expenses'!$O82</f>
        <v>0</v>
      </c>
      <c r="J86" s="1779"/>
      <c r="K86" s="1787"/>
      <c r="L86" s="1792" t="s">
        <v>4383</v>
      </c>
      <c r="M86" s="1778"/>
      <c r="N86" s="1778"/>
      <c r="O86" s="1778"/>
      <c r="P86" s="1823">
        <f>'Part VI-Revenues &amp; Expenses'!$O146</f>
        <v>0</v>
      </c>
    </row>
    <row r="87" spans="1:16" ht="13.8">
      <c r="A87" s="1779"/>
      <c r="B87" s="1787"/>
      <c r="C87" s="1778"/>
      <c r="D87" s="1792" t="s">
        <v>4380</v>
      </c>
      <c r="E87" s="1792"/>
      <c r="F87" s="1778"/>
      <c r="G87" s="1778"/>
      <c r="H87" s="1823">
        <f>'Part VI-Revenues &amp; Expenses'!$O58</f>
        <v>54</v>
      </c>
      <c r="I87" s="1823">
        <f>'Part VI-Revenues &amp; Expenses'!$O83</f>
        <v>0</v>
      </c>
      <c r="J87" s="1778"/>
      <c r="K87" s="1778"/>
      <c r="L87" s="1792" t="s">
        <v>4380</v>
      </c>
      <c r="M87" s="1778"/>
      <c r="N87" s="1778"/>
      <c r="O87" s="1778"/>
      <c r="P87" s="1823">
        <f>'Part VI-Revenues &amp; Expenses'!$O147</f>
        <v>47760</v>
      </c>
    </row>
    <row r="88" spans="1:16" ht="13.8">
      <c r="A88" s="1779"/>
      <c r="B88" s="1778"/>
      <c r="C88" s="1778"/>
      <c r="D88" s="1792" t="s">
        <v>4381</v>
      </c>
      <c r="E88" s="1778"/>
      <c r="F88" s="1778"/>
      <c r="G88" s="1778"/>
      <c r="H88" s="1823">
        <f>'Part VI-Revenues &amp; Expenses'!$O59</f>
        <v>17</v>
      </c>
      <c r="I88" s="1823">
        <f>'Part VI-Revenues &amp; Expenses'!$O84</f>
        <v>0</v>
      </c>
      <c r="J88" s="1778"/>
      <c r="K88" s="1778"/>
      <c r="L88" s="1792" t="s">
        <v>4381</v>
      </c>
      <c r="M88" s="1778"/>
      <c r="N88" s="1778"/>
      <c r="O88" s="1778"/>
      <c r="P88" s="1823">
        <f>'Part VI-Revenues &amp; Expenses'!$O148</f>
        <v>14970</v>
      </c>
    </row>
    <row r="89" spans="1:16" ht="13.8">
      <c r="A89" s="1779"/>
      <c r="B89" s="1778"/>
      <c r="C89" s="1778"/>
      <c r="D89" s="1792" t="s">
        <v>4384</v>
      </c>
      <c r="E89" s="1792"/>
      <c r="F89" s="1778"/>
      <c r="G89" s="1778"/>
      <c r="H89" s="1823">
        <f>'Part VI-Revenues &amp; Expenses'!$O60</f>
        <v>0</v>
      </c>
      <c r="I89" s="1823">
        <f>'Part VI-Revenues &amp; Expenses'!$O85</f>
        <v>0</v>
      </c>
      <c r="J89" s="1778"/>
      <c r="K89" s="1778"/>
      <c r="L89" s="1792" t="s">
        <v>4384</v>
      </c>
      <c r="M89" s="1778"/>
      <c r="N89" s="1778"/>
      <c r="O89" s="1778"/>
      <c r="P89" s="1823">
        <f>'Part VI-Revenues &amp; Expenses'!$O149</f>
        <v>0</v>
      </c>
    </row>
    <row r="90" spans="1:16" ht="13.8">
      <c r="A90" s="1779"/>
      <c r="B90" s="1778"/>
      <c r="C90" s="1778"/>
      <c r="D90" s="1792" t="s">
        <v>4385</v>
      </c>
      <c r="E90" s="1792"/>
      <c r="F90" s="1778"/>
      <c r="G90" s="1778"/>
      <c r="H90" s="1823">
        <f>'Part VI-Revenues &amp; Expenses'!$O61</f>
        <v>0</v>
      </c>
      <c r="I90" s="1823">
        <f>'Part VI-Revenues &amp; Expenses'!$O86</f>
        <v>0</v>
      </c>
      <c r="J90" s="1778"/>
      <c r="K90" s="1778"/>
      <c r="L90" s="1792" t="s">
        <v>4385</v>
      </c>
      <c r="M90" s="1778"/>
      <c r="N90" s="1778"/>
      <c r="O90" s="1778"/>
      <c r="P90" s="1823">
        <f>'Part VI-Revenues &amp; Expenses'!$O150</f>
        <v>0</v>
      </c>
    </row>
    <row r="91" spans="1:16" ht="13.8">
      <c r="A91" s="1779"/>
      <c r="B91" s="1778"/>
      <c r="C91" s="1778"/>
      <c r="D91" s="1792" t="s">
        <v>4386</v>
      </c>
      <c r="E91" s="1792"/>
      <c r="F91" s="1778"/>
      <c r="G91" s="1778"/>
      <c r="H91" s="1823">
        <f>'Part VI-Revenues &amp; Expenses'!$O62</f>
        <v>0</v>
      </c>
      <c r="I91" s="1823">
        <f>'Part VI-Revenues &amp; Expenses'!$O87</f>
        <v>0</v>
      </c>
      <c r="J91" s="1778"/>
      <c r="K91" s="1778"/>
      <c r="L91" s="1792" t="s">
        <v>4386</v>
      </c>
      <c r="M91" s="1778"/>
      <c r="N91" s="1778"/>
      <c r="O91" s="1778"/>
      <c r="P91" s="1823">
        <f>'Part VI-Revenues &amp; Expenses'!$O151</f>
        <v>0</v>
      </c>
    </row>
    <row r="92" spans="1:16" ht="13.8">
      <c r="A92" s="1779"/>
      <c r="B92" s="1778"/>
      <c r="C92" s="1787" t="s">
        <v>250</v>
      </c>
      <c r="D92" s="1778"/>
      <c r="E92" s="1778"/>
      <c r="F92" s="1778"/>
      <c r="G92" s="1778"/>
      <c r="H92" s="1823">
        <f>'Part VI-Revenues &amp; Expenses'!$O$64</f>
        <v>13</v>
      </c>
      <c r="I92" s="1778"/>
      <c r="J92" s="1779"/>
      <c r="K92" s="1787" t="s">
        <v>2728</v>
      </c>
      <c r="L92" s="1778"/>
      <c r="M92" s="1778"/>
      <c r="N92" s="1778"/>
      <c r="O92" s="1778"/>
      <c r="P92" s="1823">
        <f>'Part VI-Revenues &amp; Expenses'!$O$153</f>
        <v>11890</v>
      </c>
    </row>
    <row r="93" spans="1:16" ht="13.8">
      <c r="A93" s="1779"/>
      <c r="B93" s="1778"/>
      <c r="C93" s="1787" t="s">
        <v>2376</v>
      </c>
      <c r="D93" s="1778"/>
      <c r="E93" s="1778"/>
      <c r="F93" s="1778"/>
      <c r="G93" s="1778"/>
      <c r="H93" s="1823">
        <f>H84+H92</f>
        <v>84</v>
      </c>
      <c r="I93" s="1778"/>
      <c r="J93" s="1779"/>
      <c r="K93" s="1787" t="s">
        <v>2729</v>
      </c>
      <c r="L93" s="1778"/>
      <c r="M93" s="1778"/>
      <c r="N93" s="1778"/>
      <c r="O93" s="1778"/>
      <c r="P93" s="1823">
        <f>P84+P92</f>
        <v>74620</v>
      </c>
    </row>
    <row r="94" spans="1:16" ht="13.8">
      <c r="A94" s="1779"/>
      <c r="B94" s="1778"/>
      <c r="C94" s="1787" t="s">
        <v>2377</v>
      </c>
      <c r="D94" s="1778"/>
      <c r="E94" s="1778"/>
      <c r="F94" s="1778"/>
      <c r="G94" s="1778"/>
      <c r="H94" s="1823">
        <f>'Part VI-Revenues &amp; Expenses'!$O$66</f>
        <v>0</v>
      </c>
      <c r="I94" s="1778"/>
      <c r="J94" s="1779"/>
      <c r="K94" s="1787" t="s">
        <v>2730</v>
      </c>
      <c r="L94" s="1778"/>
      <c r="M94" s="1778"/>
      <c r="N94" s="1778"/>
      <c r="O94" s="1778"/>
      <c r="P94" s="1823">
        <f>'Part VI-Revenues &amp; Expenses'!$O$155</f>
        <v>0</v>
      </c>
    </row>
    <row r="95" spans="1:16" ht="13.8">
      <c r="A95" s="1779"/>
      <c r="B95" s="1778"/>
      <c r="C95" s="1787" t="s">
        <v>1771</v>
      </c>
      <c r="D95" s="1778"/>
      <c r="E95" s="1778"/>
      <c r="F95" s="1778"/>
      <c r="G95" s="1778"/>
      <c r="H95" s="1823">
        <f>+H93+H94</f>
        <v>84</v>
      </c>
      <c r="I95" s="1778"/>
      <c r="J95" s="1778"/>
      <c r="K95" s="1787" t="s">
        <v>1404</v>
      </c>
      <c r="L95" s="1778"/>
      <c r="M95" s="1778"/>
      <c r="N95" s="1778"/>
      <c r="O95" s="1778"/>
      <c r="P95" s="1823">
        <f>+P93+P94</f>
        <v>74620</v>
      </c>
    </row>
    <row r="96" spans="1:16" ht="13.8">
      <c r="A96" s="1779"/>
      <c r="B96" s="1778"/>
      <c r="C96" s="1778"/>
      <c r="D96" s="1778"/>
      <c r="E96" s="1778"/>
      <c r="F96" s="1778"/>
      <c r="G96" s="1778"/>
      <c r="H96" s="1778"/>
      <c r="I96" s="1779"/>
      <c r="J96" s="1778"/>
      <c r="K96" s="1778"/>
      <c r="L96" s="1779"/>
      <c r="M96" s="1779"/>
      <c r="N96" s="1778"/>
      <c r="O96" s="1778"/>
      <c r="P96" s="1799"/>
    </row>
    <row r="97" spans="1:16" ht="13.8">
      <c r="A97" s="1779"/>
      <c r="B97" s="1779" t="s">
        <v>1714</v>
      </c>
      <c r="C97" s="1778" t="s">
        <v>2268</v>
      </c>
      <c r="D97" s="1792" t="s">
        <v>1970</v>
      </c>
      <c r="E97" s="1778"/>
      <c r="F97" s="1778"/>
      <c r="G97" s="1778"/>
      <c r="H97" s="1823">
        <f>'Part I-Project Information'!H74</f>
        <v>4</v>
      </c>
      <c r="I97" s="1778"/>
      <c r="J97" s="1778"/>
      <c r="K97" s="1787" t="s">
        <v>5021</v>
      </c>
      <c r="L97" s="1778"/>
      <c r="M97" s="1778"/>
      <c r="N97" s="1778"/>
      <c r="O97" s="1778"/>
      <c r="P97" s="1823">
        <f>'Part I-Project Information'!P74</f>
        <v>3000</v>
      </c>
    </row>
    <row r="98" spans="1:16" ht="13.8">
      <c r="A98" s="1779"/>
      <c r="B98" s="1779"/>
      <c r="C98" s="1778"/>
      <c r="D98" s="1796" t="s">
        <v>1971</v>
      </c>
      <c r="E98" s="1778"/>
      <c r="F98" s="1778"/>
      <c r="G98" s="1778"/>
      <c r="H98" s="1823">
        <f>'Part I-Project Information'!H75</f>
        <v>1</v>
      </c>
      <c r="I98" s="1778"/>
      <c r="J98" s="1778"/>
      <c r="K98" s="1787" t="s">
        <v>249</v>
      </c>
      <c r="L98" s="1778"/>
      <c r="M98" s="1778"/>
      <c r="N98" s="1778"/>
      <c r="O98" s="1778"/>
      <c r="P98" s="1823">
        <f>+P95+P97</f>
        <v>77620</v>
      </c>
    </row>
    <row r="99" spans="1:16" ht="13.8">
      <c r="A99" s="1779"/>
      <c r="B99" s="1779"/>
      <c r="C99" s="1778"/>
      <c r="D99" s="1796" t="s">
        <v>1972</v>
      </c>
      <c r="E99" s="1778"/>
      <c r="F99" s="1778"/>
      <c r="G99" s="1778"/>
      <c r="H99" s="1823">
        <f>+H97+H98</f>
        <v>5</v>
      </c>
      <c r="I99" s="1778"/>
      <c r="J99" s="1778"/>
      <c r="K99" s="1778"/>
      <c r="L99" s="1778"/>
      <c r="M99" s="1778"/>
      <c r="N99" s="1778"/>
      <c r="O99" s="1778"/>
      <c r="P99" s="1778"/>
    </row>
    <row r="100" spans="1:16" ht="13.8">
      <c r="A100" s="1779"/>
      <c r="B100" s="1779"/>
      <c r="C100" s="1778"/>
      <c r="D100" s="1778"/>
      <c r="E100" s="1778"/>
      <c r="F100" s="1778"/>
      <c r="G100" s="1779"/>
      <c r="H100" s="1778"/>
      <c r="I100" s="1787"/>
      <c r="J100" s="1778"/>
      <c r="K100" s="1778"/>
      <c r="L100" s="1778"/>
      <c r="M100" s="1778"/>
      <c r="N100" s="1778"/>
      <c r="O100" s="1778"/>
      <c r="P100" s="1799"/>
    </row>
    <row r="101" spans="1:16" ht="12.75" customHeight="1">
      <c r="A101" s="1779"/>
      <c r="B101" s="1779" t="s">
        <v>1715</v>
      </c>
      <c r="C101" s="1778" t="s">
        <v>2788</v>
      </c>
      <c r="D101" s="1778"/>
      <c r="E101" s="1778"/>
      <c r="F101" s="1778"/>
      <c r="G101" s="1778"/>
      <c r="H101" s="1823">
        <f>'Part I-Project Information'!H78</f>
        <v>102</v>
      </c>
      <c r="I101" s="1778"/>
      <c r="J101" s="1778"/>
      <c r="K101" s="1777" t="s">
        <v>3724</v>
      </c>
      <c r="L101" s="1777"/>
      <c r="M101" s="1777"/>
      <c r="N101" s="1777"/>
      <c r="O101" s="1777"/>
      <c r="P101" s="1777"/>
    </row>
    <row r="102" spans="1:16" ht="13.8">
      <c r="A102" s="1779"/>
      <c r="B102" s="1779"/>
      <c r="C102" s="1787"/>
      <c r="D102" s="1778"/>
      <c r="E102" s="1778"/>
      <c r="F102" s="1778"/>
      <c r="G102" s="1779"/>
      <c r="H102" s="1778"/>
      <c r="I102" s="1787"/>
      <c r="J102" s="1787"/>
      <c r="K102" s="1777"/>
      <c r="L102" s="1777"/>
      <c r="M102" s="1777"/>
      <c r="N102" s="1777"/>
      <c r="O102" s="1777"/>
      <c r="P102" s="1777"/>
    </row>
    <row r="103" spans="1:16" ht="13.8">
      <c r="A103" s="1779" t="s">
        <v>522</v>
      </c>
      <c r="B103" s="1792" t="s">
        <v>1176</v>
      </c>
      <c r="C103" s="1778"/>
      <c r="D103" s="1792"/>
      <c r="E103" s="1792"/>
      <c r="F103" s="1778"/>
      <c r="G103" s="1779"/>
      <c r="H103" s="1778"/>
      <c r="I103" s="1778"/>
      <c r="J103" s="1778"/>
      <c r="K103" s="1777"/>
      <c r="L103" s="1777"/>
      <c r="M103" s="1777"/>
      <c r="N103" s="1777"/>
      <c r="O103" s="1777"/>
      <c r="P103" s="1777"/>
    </row>
    <row r="104" spans="1:16" ht="13.8">
      <c r="A104" s="1779"/>
      <c r="B104" s="1778"/>
      <c r="C104" s="1796"/>
      <c r="D104" s="1796"/>
      <c r="E104" s="1796"/>
      <c r="F104" s="1778"/>
      <c r="G104" s="1779"/>
      <c r="H104" s="1778"/>
      <c r="I104" s="1778"/>
      <c r="J104" s="1778"/>
      <c r="K104" s="1778"/>
      <c r="L104" s="1778"/>
      <c r="M104" s="1778"/>
      <c r="N104" s="1778"/>
      <c r="O104" s="1778"/>
      <c r="P104" s="1799"/>
    </row>
    <row r="105" spans="1:16" ht="13.8">
      <c r="A105" s="1779"/>
      <c r="B105" s="1779" t="s">
        <v>1957</v>
      </c>
      <c r="C105" s="1781" t="s">
        <v>5022</v>
      </c>
      <c r="D105" s="1796"/>
      <c r="E105" s="1796"/>
      <c r="F105" s="1778"/>
      <c r="G105" s="1779"/>
      <c r="H105" s="1778" t="str">
        <f>'Part I-Project Information'!H82</f>
        <v>Family</v>
      </c>
      <c r="I105" s="1778">
        <f>'Part I-Project Information'!I82</f>
        <v>0</v>
      </c>
      <c r="J105" s="1778"/>
      <c r="K105" s="1778" t="s">
        <v>1750</v>
      </c>
      <c r="L105" s="1778"/>
      <c r="M105" s="1778">
        <f>'Part I-Project Information'!M82</f>
        <v>0</v>
      </c>
      <c r="N105" s="1778">
        <f>'Part I-Project Information'!N82</f>
        <v>0</v>
      </c>
      <c r="O105" s="1778">
        <f>'Part I-Project Information'!O82</f>
        <v>0</v>
      </c>
      <c r="P105" s="1778">
        <f>'Part I-Project Information'!P82</f>
        <v>0</v>
      </c>
    </row>
    <row r="106" spans="1:16" ht="13.8">
      <c r="A106" s="1779"/>
      <c r="B106" s="1779"/>
      <c r="C106" s="1778"/>
      <c r="D106" s="1796"/>
      <c r="E106" s="1796"/>
      <c r="F106" s="1796"/>
      <c r="G106" s="1796"/>
      <c r="H106" s="1778"/>
      <c r="I106" s="1779"/>
      <c r="J106" s="1778"/>
      <c r="K106" s="1781"/>
      <c r="L106" s="1781"/>
      <c r="M106" s="1779"/>
      <c r="N106" s="1778"/>
      <c r="O106" s="1778"/>
      <c r="P106" s="1799"/>
    </row>
    <row r="107" spans="1:16" ht="12.75" customHeight="1">
      <c r="A107" s="1779"/>
      <c r="B107" s="1779"/>
      <c r="C107" s="1778"/>
      <c r="D107" s="1778"/>
      <c r="E107" s="1796"/>
      <c r="F107" s="1778"/>
      <c r="G107" s="1778"/>
      <c r="H107" s="1778"/>
      <c r="I107" s="1778"/>
      <c r="J107" s="1778"/>
      <c r="K107" s="1777" t="s">
        <v>4628</v>
      </c>
      <c r="L107" s="1824" t="s">
        <v>2854</v>
      </c>
      <c r="M107" s="1823">
        <f>'Part I-Project Information'!M84</f>
        <v>0</v>
      </c>
      <c r="N107" s="1824" t="s">
        <v>2855</v>
      </c>
      <c r="O107" s="1823">
        <f>'Part I-Project Information'!O84</f>
        <v>0</v>
      </c>
      <c r="P107" s="1781" t="s">
        <v>4627</v>
      </c>
    </row>
    <row r="108" spans="1:16" ht="13.8">
      <c r="A108" s="1779"/>
      <c r="B108" s="1779"/>
      <c r="C108" s="1778"/>
      <c r="D108" s="1781"/>
      <c r="E108" s="1796"/>
      <c r="F108" s="1778"/>
      <c r="G108" s="1778"/>
      <c r="H108" s="1778"/>
      <c r="I108" s="1778"/>
      <c r="J108" s="1777"/>
      <c r="K108" s="1777"/>
      <c r="L108" s="1783" t="s">
        <v>2856</v>
      </c>
      <c r="M108" s="1823">
        <f>'Part I-Project Information'!M85</f>
        <v>0</v>
      </c>
      <c r="N108" s="1783" t="s">
        <v>3743</v>
      </c>
      <c r="O108" s="1823">
        <f>'Part I-Project Information'!O85</f>
        <v>0</v>
      </c>
      <c r="P108" s="1823">
        <f>'Part I-Project Information'!P85</f>
        <v>0</v>
      </c>
    </row>
    <row r="109" spans="1:16" ht="13.8">
      <c r="A109" s="1779"/>
      <c r="B109" s="1779"/>
      <c r="C109" s="1778"/>
      <c r="D109" s="1796"/>
      <c r="E109" s="1796"/>
      <c r="F109" s="1796"/>
      <c r="G109" s="1796"/>
      <c r="H109" s="1778"/>
      <c r="I109" s="1779"/>
      <c r="J109" s="1778"/>
      <c r="K109" s="1781"/>
      <c r="L109" s="1781"/>
      <c r="M109" s="1779"/>
      <c r="N109" s="1778"/>
      <c r="O109" s="1778"/>
      <c r="P109" s="1799"/>
    </row>
    <row r="110" spans="1:16" ht="13.8">
      <c r="A110" s="1779"/>
      <c r="B110" s="1779" t="s">
        <v>1959</v>
      </c>
      <c r="C110" s="1778" t="s">
        <v>1396</v>
      </c>
      <c r="D110" s="1778"/>
      <c r="E110" s="1792"/>
      <c r="F110" s="1796" t="s">
        <v>784</v>
      </c>
      <c r="G110" s="1778"/>
      <c r="H110" s="1823">
        <f>'Part VIII-Threshold Criteria'!K329</f>
        <v>0</v>
      </c>
      <c r="I110" s="1778"/>
      <c r="J110" s="1778"/>
      <c r="K110" s="1778" t="s">
        <v>512</v>
      </c>
      <c r="L110" s="1778"/>
      <c r="M110" s="1778"/>
      <c r="N110" s="1825">
        <f>IF('Part VI-Revenues &amp; Expenses'!$O$67=0,0,H110/'Part VI-Revenues &amp; Expenses'!$O$67)</f>
        <v>0</v>
      </c>
      <c r="O110" s="1783" t="s">
        <v>3594</v>
      </c>
      <c r="P110" s="1826">
        <f>'DCA Underwriting Assumptions'!$Q$139</f>
        <v>0.05</v>
      </c>
    </row>
    <row r="111" spans="1:16" ht="13.8">
      <c r="A111" s="1779"/>
      <c r="B111" s="1779"/>
      <c r="C111" s="1778"/>
      <c r="D111" s="1796" t="s">
        <v>2786</v>
      </c>
      <c r="E111" s="1796"/>
      <c r="F111" s="1796" t="s">
        <v>784</v>
      </c>
      <c r="G111" s="1778"/>
      <c r="H111" s="1823">
        <f>'Part VIII-Threshold Criteria'!K330</f>
        <v>0</v>
      </c>
      <c r="I111" s="1778"/>
      <c r="J111" s="1778"/>
      <c r="K111" s="1778" t="s">
        <v>2787</v>
      </c>
      <c r="L111" s="1778"/>
      <c r="M111" s="1778"/>
      <c r="N111" s="1825">
        <f>IF(H110=0,0,H111/H110)</f>
        <v>0</v>
      </c>
      <c r="O111" s="1783" t="s">
        <v>3594</v>
      </c>
      <c r="P111" s="1826">
        <f>'DCA Underwriting Assumptions'!$Q$140</f>
        <v>0.4</v>
      </c>
    </row>
    <row r="112" spans="1:16" ht="13.8">
      <c r="A112" s="1779"/>
      <c r="B112" s="1779"/>
      <c r="C112" s="1778"/>
      <c r="D112" s="1796"/>
      <c r="E112" s="1796"/>
      <c r="F112" s="1796"/>
      <c r="G112" s="1778"/>
      <c r="H112" s="1778"/>
      <c r="I112" s="1779"/>
      <c r="J112" s="1778"/>
      <c r="K112" s="1781"/>
      <c r="L112" s="1781"/>
      <c r="M112" s="1779"/>
      <c r="N112" s="1779"/>
      <c r="O112" s="1778"/>
      <c r="P112" s="1779"/>
    </row>
    <row r="113" spans="1:16" ht="13.8">
      <c r="A113" s="1779"/>
      <c r="B113" s="1779" t="s">
        <v>738</v>
      </c>
      <c r="C113" s="1778" t="s">
        <v>1819</v>
      </c>
      <c r="D113" s="1792"/>
      <c r="E113" s="1792"/>
      <c r="F113" s="1796" t="s">
        <v>784</v>
      </c>
      <c r="G113" s="1778"/>
      <c r="H113" s="1823">
        <f>'Part VIII-Threshold Criteria'!K332</f>
        <v>0</v>
      </c>
      <c r="I113" s="1778"/>
      <c r="J113" s="1778"/>
      <c r="K113" s="1778" t="s">
        <v>512</v>
      </c>
      <c r="L113" s="1778"/>
      <c r="M113" s="1778"/>
      <c r="N113" s="1825">
        <f>IF('Part VI-Revenues &amp; Expenses'!$O$67=0,0,H113/'Part VI-Revenues &amp; Expenses'!$O$67)</f>
        <v>0</v>
      </c>
      <c r="O113" s="1783" t="s">
        <v>3594</v>
      </c>
      <c r="P113" s="1826">
        <f>'DCA Underwriting Assumptions'!$Q$141</f>
        <v>0.02</v>
      </c>
    </row>
    <row r="114" spans="1:16" ht="13.8">
      <c r="A114" s="1779"/>
      <c r="B114" s="1779"/>
      <c r="C114" s="1778"/>
      <c r="D114" s="1796"/>
      <c r="E114" s="1796"/>
      <c r="F114" s="1796"/>
      <c r="G114" s="1796"/>
      <c r="H114" s="1778"/>
      <c r="I114" s="1779"/>
      <c r="J114" s="1779"/>
      <c r="K114" s="1779"/>
      <c r="L114" s="1779"/>
      <c r="M114" s="1779"/>
      <c r="N114" s="1778"/>
      <c r="O114" s="1778"/>
      <c r="P114" s="1799"/>
    </row>
    <row r="115" spans="1:16" ht="13.8">
      <c r="A115" s="1787" t="s">
        <v>761</v>
      </c>
      <c r="B115" s="1796" t="s">
        <v>4535</v>
      </c>
      <c r="C115" s="1778"/>
      <c r="D115" s="1796"/>
      <c r="E115" s="1796"/>
      <c r="F115" s="1796"/>
      <c r="G115" s="1796"/>
      <c r="H115" s="1796"/>
      <c r="I115" s="1779"/>
      <c r="J115" s="1778"/>
      <c r="K115" s="1778"/>
      <c r="L115" s="1778"/>
      <c r="M115" s="1779"/>
      <c r="N115" s="1778"/>
      <c r="O115" s="1778"/>
      <c r="P115" s="1799"/>
    </row>
    <row r="116" spans="1:16" ht="13.8">
      <c r="A116" s="1779"/>
      <c r="B116" s="1779"/>
      <c r="C116" s="1796"/>
      <c r="D116" s="1796"/>
      <c r="E116" s="1796"/>
      <c r="F116" s="1796"/>
      <c r="G116" s="1778"/>
      <c r="H116" s="1778"/>
      <c r="I116" s="1778"/>
      <c r="J116" s="1778"/>
      <c r="K116" s="1778"/>
      <c r="L116" s="1779"/>
      <c r="M116" s="1779"/>
      <c r="N116" s="1778"/>
      <c r="O116" s="1778"/>
      <c r="P116" s="1778"/>
    </row>
    <row r="117" spans="1:16" ht="13.8">
      <c r="A117" s="1779"/>
      <c r="B117" s="1779" t="s">
        <v>1957</v>
      </c>
      <c r="C117" s="1781" t="s">
        <v>2347</v>
      </c>
      <c r="D117" s="1796"/>
      <c r="E117" s="1778"/>
      <c r="F117" s="1781"/>
      <c r="G117" s="1778"/>
      <c r="H117" s="1778"/>
      <c r="I117" s="1778"/>
      <c r="J117" s="1778"/>
      <c r="K117" s="1778" t="str">
        <f>'Part I-Project Information'!K94</f>
        <v>40% of Units at 60% of AMI</v>
      </c>
      <c r="L117" s="1778">
        <f>'Part I-Project Information'!L94</f>
        <v>0</v>
      </c>
      <c r="M117" s="1778">
        <f>'Part I-Project Information'!M94</f>
        <v>0</v>
      </c>
      <c r="N117" s="1778"/>
      <c r="O117" s="1778"/>
      <c r="P117" s="1778"/>
    </row>
    <row r="118" spans="1:16" ht="13.8">
      <c r="A118" s="1779"/>
      <c r="B118" s="1779"/>
      <c r="C118" s="1778"/>
      <c r="D118" s="1796"/>
      <c r="E118" s="1778"/>
      <c r="F118" s="1796"/>
      <c r="G118" s="1796"/>
      <c r="H118" s="1778"/>
      <c r="I118" s="1778"/>
      <c r="J118" s="1778"/>
      <c r="K118" s="1778"/>
      <c r="L118" s="1779"/>
      <c r="M118" s="1779"/>
      <c r="N118" s="1778"/>
      <c r="O118" s="1778"/>
      <c r="P118" s="1778"/>
    </row>
    <row r="119" spans="1:16" ht="13.8">
      <c r="A119" s="1778"/>
      <c r="B119" s="1779" t="s">
        <v>1959</v>
      </c>
      <c r="C119" s="1778" t="s">
        <v>1516</v>
      </c>
      <c r="D119" s="1778"/>
      <c r="E119" s="1778"/>
      <c r="F119" s="1778"/>
      <c r="G119" s="1778"/>
      <c r="H119" s="1778"/>
      <c r="I119" s="1778"/>
      <c r="J119" s="1778"/>
      <c r="K119" s="1781" t="s">
        <v>4604</v>
      </c>
      <c r="L119" s="1778"/>
      <c r="M119" s="1778"/>
      <c r="N119" s="1827"/>
      <c r="O119" s="1778"/>
      <c r="P119" s="1779" t="str">
        <f>'Part I-Project Information'!P96</f>
        <v>No</v>
      </c>
    </row>
    <row r="120" spans="1:16" ht="13.8">
      <c r="A120" s="1779"/>
      <c r="B120" s="1779"/>
      <c r="C120" s="1778"/>
      <c r="D120" s="1796"/>
      <c r="E120" s="1796"/>
      <c r="F120" s="1796"/>
      <c r="G120" s="1796"/>
      <c r="H120" s="1778"/>
      <c r="I120" s="1779"/>
      <c r="J120" s="1779"/>
      <c r="K120" s="1779"/>
      <c r="L120" s="1779"/>
      <c r="M120" s="1779"/>
      <c r="N120" s="1778"/>
      <c r="O120" s="1778"/>
      <c r="P120" s="1799"/>
    </row>
    <row r="121" spans="1:16" ht="13.8">
      <c r="A121" s="1787" t="s">
        <v>289</v>
      </c>
      <c r="B121" s="1796" t="s">
        <v>2015</v>
      </c>
      <c r="C121" s="1778"/>
      <c r="D121" s="1796"/>
      <c r="E121" s="1778"/>
      <c r="F121" s="1778"/>
      <c r="G121" s="1778"/>
      <c r="H121" s="1778"/>
      <c r="I121" s="1778"/>
      <c r="J121" s="1778"/>
      <c r="K121" s="1778"/>
      <c r="L121" s="1778"/>
      <c r="M121" s="1778"/>
      <c r="N121" s="1778"/>
      <c r="O121" s="1778"/>
      <c r="P121" s="1778"/>
    </row>
    <row r="122" spans="1:16" ht="13.8">
      <c r="A122" s="1779"/>
      <c r="B122" s="1779"/>
      <c r="C122" s="1778"/>
      <c r="D122" s="1796"/>
      <c r="E122" s="1778"/>
      <c r="F122" s="1778"/>
      <c r="G122" s="1778"/>
      <c r="H122" s="1778"/>
      <c r="I122" s="1778"/>
      <c r="J122" s="1778"/>
      <c r="K122" s="1778"/>
      <c r="L122" s="1778"/>
      <c r="M122" s="1778"/>
      <c r="N122" s="1778"/>
      <c r="O122" s="1778"/>
      <c r="P122" s="1799"/>
    </row>
    <row r="123" spans="1:16" ht="13.8">
      <c r="A123" s="1787"/>
      <c r="B123" s="1779" t="s">
        <v>1957</v>
      </c>
      <c r="C123" s="1778" t="s">
        <v>2669</v>
      </c>
      <c r="D123" s="1778"/>
      <c r="E123" s="1778"/>
      <c r="F123" s="1792" t="s">
        <v>2566</v>
      </c>
      <c r="G123" s="1778"/>
      <c r="H123" s="1779" t="str">
        <f>'Part I-Project Information'!H100</f>
        <v>No</v>
      </c>
      <c r="I123" s="1778"/>
      <c r="J123" s="1778"/>
      <c r="K123" s="1781" t="s">
        <v>3757</v>
      </c>
      <c r="L123" s="1778"/>
      <c r="M123" s="1778"/>
      <c r="N123" s="1778"/>
      <c r="O123" s="1778"/>
      <c r="P123" s="1779" t="str">
        <f>'Part I-Project Information'!P100</f>
        <v>No</v>
      </c>
    </row>
    <row r="124" spans="1:16" ht="13.8">
      <c r="A124" s="1787"/>
      <c r="B124" s="1779"/>
      <c r="C124" s="1778"/>
      <c r="D124" s="1778"/>
      <c r="E124" s="1778"/>
      <c r="F124" s="1796" t="s">
        <v>3762</v>
      </c>
      <c r="G124" s="1778"/>
      <c r="H124" s="1779" t="str">
        <f>'Part I-Project Information'!H101</f>
        <v>No</v>
      </c>
      <c r="I124" s="1778"/>
      <c r="J124" s="1778"/>
      <c r="K124" s="1781" t="s">
        <v>4396</v>
      </c>
      <c r="L124" s="1778"/>
      <c r="M124" s="1778"/>
      <c r="N124" s="1778"/>
      <c r="O124" s="1778"/>
      <c r="P124" s="1779" t="str">
        <f>'Part I-Project Information'!P101</f>
        <v>No</v>
      </c>
    </row>
    <row r="125" spans="1:16" ht="13.8">
      <c r="A125" s="1779"/>
      <c r="B125" s="1779"/>
      <c r="C125" s="1796"/>
      <c r="D125" s="1778"/>
      <c r="E125" s="1778"/>
      <c r="F125" s="1796"/>
      <c r="G125" s="1778"/>
      <c r="H125" s="1796"/>
      <c r="I125" s="1778"/>
      <c r="J125" s="1779"/>
      <c r="K125" s="1779"/>
      <c r="L125" s="1779"/>
      <c r="M125" s="1779"/>
      <c r="N125" s="1779"/>
      <c r="O125" s="1778"/>
      <c r="P125" s="1799"/>
    </row>
    <row r="126" spans="1:16" ht="13.8">
      <c r="A126" s="1787"/>
      <c r="B126" s="1779" t="s">
        <v>1959</v>
      </c>
      <c r="C126" s="1778" t="s">
        <v>2670</v>
      </c>
      <c r="D126" s="1778"/>
      <c r="E126" s="1778"/>
      <c r="F126" s="1781" t="s">
        <v>2642</v>
      </c>
      <c r="G126" s="1778"/>
      <c r="H126" s="1779" t="str">
        <f>'Part I-Project Information'!H103</f>
        <v>No</v>
      </c>
      <c r="I126" s="1828" t="s">
        <v>2671</v>
      </c>
      <c r="J126" s="1779"/>
      <c r="K126" s="1778"/>
      <c r="L126" s="1779"/>
      <c r="M126" s="1778"/>
      <c r="N126" s="1778"/>
      <c r="O126" s="1778"/>
      <c r="P126" s="1778"/>
    </row>
    <row r="127" spans="1:16" ht="13.8">
      <c r="A127" s="1779"/>
      <c r="B127" s="1779"/>
      <c r="C127" s="1778"/>
      <c r="D127" s="1796"/>
      <c r="E127" s="1796"/>
      <c r="F127" s="1796"/>
      <c r="G127" s="1796"/>
      <c r="H127" s="1778"/>
      <c r="I127" s="1779"/>
      <c r="J127" s="1779"/>
      <c r="K127" s="1779"/>
      <c r="L127" s="1779"/>
      <c r="M127" s="1779"/>
      <c r="N127" s="1778"/>
      <c r="O127" s="1778"/>
      <c r="P127" s="1799"/>
    </row>
    <row r="128" spans="1:16" ht="13.8">
      <c r="A128" s="1787" t="s">
        <v>422</v>
      </c>
      <c r="B128" s="1796" t="s">
        <v>2737</v>
      </c>
      <c r="C128" s="1778"/>
      <c r="D128" s="1796"/>
      <c r="E128" s="1778"/>
      <c r="F128" s="1778"/>
      <c r="G128" s="1778"/>
      <c r="H128" s="1778" t="str">
        <f>'Part I-Project Information'!H105</f>
        <v>Flexible</v>
      </c>
      <c r="I128" s="1778">
        <f>'Part I-Project Information'!I105</f>
        <v>0</v>
      </c>
      <c r="J128" s="1779"/>
      <c r="K128" s="1778"/>
      <c r="L128" s="1778"/>
      <c r="M128" s="1778"/>
      <c r="N128" s="1778"/>
      <c r="O128" s="1778"/>
      <c r="P128" s="1778"/>
    </row>
    <row r="129" spans="1:16" ht="13.8">
      <c r="A129" s="1779"/>
      <c r="B129" s="1778"/>
      <c r="C129" s="1778"/>
      <c r="D129" s="1802"/>
      <c r="E129" s="1778"/>
      <c r="F129" s="1778"/>
      <c r="G129" s="1778"/>
      <c r="H129" s="1778"/>
      <c r="I129" s="1802"/>
      <c r="J129" s="1787"/>
      <c r="K129" s="1778"/>
      <c r="L129" s="1778"/>
      <c r="M129" s="1778"/>
      <c r="N129" s="1778"/>
      <c r="O129" s="1778"/>
      <c r="P129" s="1799"/>
    </row>
    <row r="130" spans="1:16" ht="13.8">
      <c r="A130" s="1787" t="s">
        <v>359</v>
      </c>
      <c r="B130" s="1787" t="s">
        <v>1174</v>
      </c>
      <c r="C130" s="1778"/>
      <c r="D130" s="1778"/>
      <c r="E130" s="1778"/>
      <c r="F130" s="1778"/>
      <c r="G130" s="1778"/>
      <c r="H130" s="1778"/>
      <c r="I130" s="1802"/>
      <c r="J130" s="1787"/>
      <c r="K130" s="1778"/>
      <c r="L130" s="1778"/>
      <c r="M130" s="1778"/>
      <c r="N130" s="1778"/>
      <c r="O130" s="1778"/>
      <c r="P130" s="1799"/>
    </row>
    <row r="131" spans="1:16" ht="13.8">
      <c r="A131" s="1787"/>
      <c r="B131" s="1779"/>
      <c r="C131" s="1787"/>
      <c r="D131" s="1778"/>
      <c r="E131" s="1778"/>
      <c r="F131" s="1778"/>
      <c r="G131" s="1778"/>
      <c r="H131" s="1778"/>
      <c r="I131" s="1802"/>
      <c r="J131" s="1787"/>
      <c r="K131" s="1778"/>
      <c r="L131" s="1778"/>
      <c r="M131" s="1778"/>
      <c r="N131" s="1778"/>
      <c r="O131" s="1778"/>
      <c r="P131" s="1778"/>
    </row>
    <row r="132" spans="1:16" ht="13.8">
      <c r="A132" s="1779"/>
      <c r="B132" s="1779"/>
      <c r="C132" s="1787" t="s">
        <v>543</v>
      </c>
      <c r="D132" s="1778"/>
      <c r="E132" s="1778">
        <f>'Part I-Project Information'!E109</f>
        <v>0</v>
      </c>
      <c r="F132" s="1778">
        <f>'Part I-Project Information'!F109</f>
        <v>0</v>
      </c>
      <c r="G132" s="1778">
        <f>'Part I-Project Information'!G109</f>
        <v>0</v>
      </c>
      <c r="H132" s="1778">
        <f>'Part I-Project Information'!H109</f>
        <v>0</v>
      </c>
      <c r="I132" s="1778">
        <f>'Part I-Project Information'!I109</f>
        <v>0</v>
      </c>
      <c r="J132" s="1778">
        <f>'Part I-Project Information'!J109</f>
        <v>0</v>
      </c>
      <c r="K132" s="1778">
        <f>'Part I-Project Information'!K109</f>
        <v>0</v>
      </c>
      <c r="L132" s="1778">
        <f>'Part I-Project Information'!L109</f>
        <v>0</v>
      </c>
      <c r="M132" s="1792" t="s">
        <v>544</v>
      </c>
      <c r="N132" s="1792"/>
      <c r="O132" s="1829">
        <f>'Part I-Project Information'!O109</f>
        <v>0</v>
      </c>
      <c r="P132" s="1829">
        <f>'Part I-Project Information'!P109</f>
        <v>0</v>
      </c>
    </row>
    <row r="133" spans="1:16" ht="13.8">
      <c r="A133" s="1778"/>
      <c r="B133" s="1778"/>
      <c r="C133" s="1781" t="s">
        <v>1008</v>
      </c>
      <c r="D133" s="1783"/>
      <c r="E133" s="1778">
        <f>'Part I-Project Information'!E110</f>
        <v>0</v>
      </c>
      <c r="F133" s="1778">
        <f>'Part I-Project Information'!F110</f>
        <v>0</v>
      </c>
      <c r="G133" s="1778">
        <f>'Part I-Project Information'!G110</f>
        <v>0</v>
      </c>
      <c r="H133" s="1778">
        <f>'Part I-Project Information'!H110</f>
        <v>0</v>
      </c>
      <c r="I133" s="1778">
        <f>'Part I-Project Information'!I110</f>
        <v>0</v>
      </c>
      <c r="J133" s="1778">
        <f>'Part I-Project Information'!J110</f>
        <v>0</v>
      </c>
      <c r="K133" s="1778">
        <f>'Part I-Project Information'!K110</f>
        <v>0</v>
      </c>
      <c r="L133" s="1778">
        <f>'Part I-Project Information'!L110</f>
        <v>0</v>
      </c>
      <c r="M133" s="1792" t="s">
        <v>796</v>
      </c>
      <c r="N133" s="1792"/>
      <c r="O133" s="1794">
        <f>'Part I-Project Information'!O110</f>
        <v>0</v>
      </c>
      <c r="P133" s="1794">
        <f>'Part I-Project Information'!P110</f>
        <v>0</v>
      </c>
    </row>
    <row r="134" spans="1:16" ht="13.8">
      <c r="A134" s="1778"/>
      <c r="B134" s="1778"/>
      <c r="C134" s="1781" t="s">
        <v>607</v>
      </c>
      <c r="D134" s="1778"/>
      <c r="E134" s="1778">
        <f>'Part I-Project Information'!E111</f>
        <v>0</v>
      </c>
      <c r="F134" s="1792">
        <f>'Part I-Project Information'!F111</f>
        <v>0</v>
      </c>
      <c r="G134" s="1792">
        <f>'Part I-Project Information'!G111</f>
        <v>0</v>
      </c>
      <c r="H134" s="1779" t="s">
        <v>1776</v>
      </c>
      <c r="I134" s="1781">
        <f>'Part I-Project Information'!I111</f>
        <v>0</v>
      </c>
      <c r="J134" s="1779" t="s">
        <v>2201</v>
      </c>
      <c r="K134" s="1797">
        <f>'Part I-Project Information'!K111</f>
        <v>0</v>
      </c>
      <c r="L134" s="1792">
        <f>'Part I-Project Information'!L111</f>
        <v>0</v>
      </c>
      <c r="M134" s="1787" t="s">
        <v>3564</v>
      </c>
      <c r="N134" s="1787"/>
      <c r="O134" s="1830">
        <f>'Part I-Project Information'!O111</f>
        <v>0</v>
      </c>
      <c r="P134" s="1830">
        <f>'Part I-Project Information'!P111</f>
        <v>0</v>
      </c>
    </row>
    <row r="135" spans="1:16" ht="13.8">
      <c r="A135" s="1778"/>
      <c r="B135" s="1778"/>
      <c r="C135" s="1778" t="s">
        <v>2167</v>
      </c>
      <c r="D135" s="1778"/>
      <c r="E135" s="1778">
        <f>'Part I-Project Information'!E112</f>
        <v>0</v>
      </c>
      <c r="F135" s="1792">
        <f>'Part I-Project Information'!F112</f>
        <v>0</v>
      </c>
      <c r="G135" s="1792">
        <f>'Part I-Project Information'!G112</f>
        <v>0</v>
      </c>
      <c r="H135" s="1779" t="s">
        <v>1954</v>
      </c>
      <c r="I135" s="1778">
        <f>'Part I-Project Information'!I112</f>
        <v>0</v>
      </c>
      <c r="J135" s="1792">
        <f>'Part I-Project Information'!J112</f>
        <v>0</v>
      </c>
      <c r="K135" s="1792">
        <f>'Part I-Project Information'!K112</f>
        <v>0</v>
      </c>
      <c r="L135" s="1779" t="s">
        <v>1958</v>
      </c>
      <c r="M135" s="1778">
        <f>'Part I-Project Information'!M112</f>
        <v>0</v>
      </c>
      <c r="N135" s="1792">
        <f>'Part I-Project Information'!N112</f>
        <v>0</v>
      </c>
      <c r="O135" s="1792">
        <f>'Part I-Project Information'!O112</f>
        <v>0</v>
      </c>
      <c r="P135" s="1792">
        <f>'Part I-Project Information'!P112</f>
        <v>0</v>
      </c>
    </row>
    <row r="136" spans="1:16" ht="13.8">
      <c r="A136" s="1778"/>
      <c r="B136" s="1778"/>
      <c r="C136" s="1781" t="s">
        <v>2166</v>
      </c>
      <c r="D136" s="1778"/>
      <c r="E136" s="1798">
        <f>'Part I-Project Information'!E113</f>
        <v>0</v>
      </c>
      <c r="F136" s="1798">
        <f>'Part I-Project Information'!F113</f>
        <v>0</v>
      </c>
      <c r="G136" s="1798">
        <f>'Part I-Project Information'!G113</f>
        <v>0</v>
      </c>
      <c r="H136" s="1779" t="s">
        <v>1778</v>
      </c>
      <c r="I136" s="1798">
        <f>'Part I-Project Information'!I113</f>
        <v>0</v>
      </c>
      <c r="J136" s="1792">
        <f>'Part I-Project Information'!J113</f>
        <v>0</v>
      </c>
      <c r="K136" s="1779" t="s">
        <v>2666</v>
      </c>
      <c r="L136" s="1794">
        <f>'Part I-Project Information'!L113</f>
        <v>0</v>
      </c>
      <c r="M136" s="1794">
        <f>'Part I-Project Information'!M113</f>
        <v>0</v>
      </c>
      <c r="N136" s="1794">
        <f>'Part I-Project Information'!N113</f>
        <v>0</v>
      </c>
      <c r="O136" s="1794">
        <f>'Part I-Project Information'!O113</f>
        <v>0</v>
      </c>
      <c r="P136" s="1794">
        <f>'Part I-Project Information'!P113</f>
        <v>0</v>
      </c>
    </row>
    <row r="137" spans="1:16" ht="13.8">
      <c r="A137" s="1779"/>
      <c r="B137" s="1779"/>
      <c r="C137" s="1778"/>
      <c r="D137" s="1778"/>
      <c r="E137" s="1778"/>
      <c r="F137" s="1778"/>
      <c r="G137" s="1802"/>
      <c r="H137" s="1779"/>
      <c r="I137" s="1779"/>
      <c r="J137" s="1778"/>
      <c r="K137" s="1778"/>
      <c r="L137" s="1778"/>
      <c r="M137" s="1799"/>
      <c r="N137" s="1778"/>
      <c r="O137" s="1778"/>
      <c r="P137" s="1778"/>
    </row>
    <row r="138" spans="1:16" ht="13.8">
      <c r="A138" s="1787" t="s">
        <v>360</v>
      </c>
      <c r="B138" s="1796" t="s">
        <v>1650</v>
      </c>
      <c r="C138" s="1778"/>
      <c r="D138" s="1802"/>
      <c r="E138" s="1802"/>
      <c r="F138" s="1779"/>
      <c r="G138" s="1779"/>
      <c r="H138" s="1779"/>
      <c r="I138" s="1778"/>
      <c r="J138" s="1778"/>
      <c r="K138" s="1778"/>
      <c r="L138" s="1778"/>
      <c r="M138" s="1778"/>
      <c r="N138" s="1778"/>
      <c r="O138" s="1778"/>
      <c r="P138" s="1799"/>
    </row>
    <row r="139" spans="1:16" ht="13.8">
      <c r="A139" s="1787"/>
      <c r="B139" s="1796"/>
      <c r="C139" s="1778"/>
      <c r="D139" s="1802"/>
      <c r="E139" s="1802"/>
      <c r="F139" s="1779"/>
      <c r="G139" s="1779"/>
      <c r="H139" s="1779"/>
      <c r="I139" s="1779"/>
      <c r="J139" s="1802"/>
      <c r="K139" s="1779"/>
      <c r="L139" s="1779"/>
      <c r="M139" s="1778"/>
      <c r="N139" s="1778"/>
      <c r="O139" s="1778"/>
      <c r="P139" s="1799"/>
    </row>
    <row r="140" spans="1:16" ht="13.8">
      <c r="A140" s="1778"/>
      <c r="B140" s="1792" t="s">
        <v>2126</v>
      </c>
      <c r="C140" s="1778"/>
      <c r="D140" s="1831"/>
      <c r="E140" s="1831"/>
      <c r="F140" s="1831"/>
      <c r="G140" s="1831"/>
      <c r="H140" s="1831"/>
      <c r="I140" s="1831"/>
      <c r="J140" s="1831"/>
      <c r="K140" s="1831"/>
      <c r="L140" s="1831"/>
      <c r="M140" s="1831"/>
      <c r="N140" s="1831"/>
      <c r="O140" s="1831"/>
      <c r="P140" s="1831"/>
    </row>
    <row r="141" spans="1:16" ht="13.8">
      <c r="A141" s="1779"/>
      <c r="B141" s="1779"/>
      <c r="C141" s="1832"/>
      <c r="D141" s="1832"/>
      <c r="E141" s="1832"/>
      <c r="F141" s="1832"/>
      <c r="G141" s="1832"/>
      <c r="H141" s="1832"/>
      <c r="I141" s="1832"/>
      <c r="J141" s="1832"/>
      <c r="K141" s="1832"/>
      <c r="L141" s="1832"/>
      <c r="M141" s="1832"/>
      <c r="N141" s="1832"/>
      <c r="O141" s="1832"/>
      <c r="P141" s="1832"/>
    </row>
    <row r="142" spans="1:16" ht="13.8">
      <c r="A142" s="1779"/>
      <c r="B142" s="1779" t="s">
        <v>1957</v>
      </c>
      <c r="C142" s="1796" t="s">
        <v>1397</v>
      </c>
      <c r="D142" s="1796"/>
      <c r="E142" s="1796"/>
      <c r="F142" s="1779"/>
      <c r="G142" s="1779"/>
      <c r="H142" s="1802">
        <f>'Part I-Project Information'!H119</f>
        <v>3</v>
      </c>
      <c r="I142" s="1778"/>
      <c r="J142" s="1778"/>
      <c r="K142" s="1778"/>
      <c r="L142" s="1778"/>
      <c r="M142" s="1778"/>
      <c r="N142" s="1778"/>
      <c r="O142" s="1778"/>
      <c r="P142" s="1778"/>
    </row>
    <row r="143" spans="1:16" ht="13.8">
      <c r="A143" s="1779"/>
      <c r="B143" s="1779"/>
      <c r="C143" s="1832"/>
      <c r="D143" s="1832"/>
      <c r="E143" s="1832"/>
      <c r="F143" s="1832"/>
      <c r="G143" s="1832"/>
      <c r="H143" s="1832"/>
      <c r="I143" s="1778"/>
      <c r="J143" s="1832"/>
      <c r="K143" s="1778"/>
      <c r="L143" s="1778"/>
      <c r="M143" s="1832"/>
      <c r="N143" s="1832"/>
      <c r="O143" s="1832"/>
      <c r="P143" s="1778"/>
    </row>
    <row r="144" spans="1:16" ht="13.8">
      <c r="A144" s="1779"/>
      <c r="B144" s="1779" t="s">
        <v>1959</v>
      </c>
      <c r="C144" s="1796" t="s">
        <v>412</v>
      </c>
      <c r="D144" s="1796"/>
      <c r="E144" s="1796"/>
      <c r="F144" s="1779"/>
      <c r="G144" s="1779"/>
      <c r="H144" s="1833">
        <f>'Part I-Project Information'!H121</f>
        <v>2458166</v>
      </c>
      <c r="I144" s="1778"/>
      <c r="J144" s="1802"/>
      <c r="K144" s="1781"/>
      <c r="L144" s="1778"/>
      <c r="M144" s="1778"/>
      <c r="N144" s="1778"/>
      <c r="O144" s="1778"/>
      <c r="P144" s="1778"/>
    </row>
    <row r="145" spans="1:16" ht="13.8">
      <c r="A145" s="1779"/>
      <c r="B145" s="1779"/>
      <c r="C145" s="1832"/>
      <c r="D145" s="1832"/>
      <c r="E145" s="1832"/>
      <c r="F145" s="1832"/>
      <c r="G145" s="1832"/>
      <c r="H145" s="1832"/>
      <c r="I145" s="1832"/>
      <c r="J145" s="1832"/>
      <c r="K145" s="1832"/>
      <c r="L145" s="1778"/>
      <c r="M145" s="1832"/>
      <c r="N145" s="1832"/>
      <c r="O145" s="1832"/>
      <c r="P145" s="1832"/>
    </row>
    <row r="146" spans="1:16" ht="13.8">
      <c r="A146" s="1778"/>
      <c r="B146" s="1779" t="s">
        <v>738</v>
      </c>
      <c r="C146" s="1796" t="s">
        <v>299</v>
      </c>
      <c r="D146" s="1796"/>
      <c r="E146" s="1796"/>
      <c r="F146" s="1779"/>
      <c r="G146" s="1779"/>
      <c r="H146" s="1779"/>
      <c r="I146" s="1779"/>
      <c r="J146" s="1802"/>
      <c r="K146" s="1779"/>
      <c r="L146" s="1779"/>
      <c r="M146" s="1778"/>
      <c r="N146" s="1778"/>
      <c r="O146" s="1778"/>
      <c r="P146" s="1778"/>
    </row>
    <row r="147" spans="1:16" ht="13.8">
      <c r="A147" s="1778"/>
      <c r="B147" s="1779"/>
      <c r="C147" s="1796" t="s">
        <v>2108</v>
      </c>
      <c r="D147" s="1796"/>
      <c r="E147" s="1778"/>
      <c r="F147" s="1796" t="s">
        <v>1121</v>
      </c>
      <c r="G147" s="1779"/>
      <c r="H147" s="1779"/>
      <c r="I147" s="1779" t="s">
        <v>1279</v>
      </c>
      <c r="J147" s="1796" t="s">
        <v>2108</v>
      </c>
      <c r="K147" s="1796"/>
      <c r="L147" s="1778"/>
      <c r="M147" s="1796" t="s">
        <v>1121</v>
      </c>
      <c r="N147" s="1779"/>
      <c r="O147" s="1779"/>
      <c r="P147" s="1779" t="s">
        <v>1279</v>
      </c>
    </row>
    <row r="148" spans="1:16" ht="13.8">
      <c r="A148" s="1779"/>
      <c r="B148" s="1779"/>
      <c r="C148" s="1790" t="str">
        <f>'Part I-Project Information'!C125</f>
        <v>Hunt ELP, Ltd/TWC Housing, LLC</v>
      </c>
      <c r="D148" s="1790">
        <f>'Part I-Project Information'!D125</f>
        <v>0</v>
      </c>
      <c r="E148" s="1790">
        <f>'Part I-Project Information'!E125</f>
        <v>0</v>
      </c>
      <c r="F148" s="1790" t="str">
        <f>'Part I-Project Information'!F125</f>
        <v>River Pointe II</v>
      </c>
      <c r="G148" s="1790">
        <f>'Part I-Project Information'!G125</f>
        <v>0</v>
      </c>
      <c r="H148" s="1790">
        <f>'Part I-Project Information'!H125</f>
        <v>0</v>
      </c>
      <c r="I148" s="1834" t="str">
        <f>'Part I-Project Information'!I125</f>
        <v>Direct</v>
      </c>
      <c r="J148" s="1790" t="str">
        <f>'Part I-Project Information'!J125</f>
        <v>Pennrose Holdings LLC</v>
      </c>
      <c r="K148" s="1790">
        <f>'Part I-Project Information'!K125</f>
        <v>0</v>
      </c>
      <c r="L148" s="1790">
        <f>'Part I-Project Information'!L125</f>
        <v>0</v>
      </c>
      <c r="M148" s="1790" t="str">
        <f>'Part I-Project Information'!M125</f>
        <v>WR Redevelopment Phase II</v>
      </c>
      <c r="N148" s="1790">
        <f>'Part I-Project Information'!N125</f>
        <v>0</v>
      </c>
      <c r="O148" s="1790">
        <f>'Part I-Project Information'!O125</f>
        <v>0</v>
      </c>
      <c r="P148" s="1834" t="str">
        <f>'Part I-Project Information'!P125</f>
        <v>Direct</v>
      </c>
    </row>
    <row r="149" spans="1:16" ht="13.8">
      <c r="A149" s="1779"/>
      <c r="B149" s="1779"/>
      <c r="C149" s="1790" t="str">
        <f>'Part I-Project Information'!C126</f>
        <v>SCB River Pointe III Phase II, LLC/Savannah Community Builders, Inc.</v>
      </c>
      <c r="D149" s="1790">
        <f>'Part I-Project Information'!D126</f>
        <v>0</v>
      </c>
      <c r="E149" s="1790">
        <f>'Part I-Project Information'!E126</f>
        <v>0</v>
      </c>
      <c r="F149" s="1790" t="str">
        <f>'Part I-Project Information'!F126</f>
        <v>River Pointe II</v>
      </c>
      <c r="G149" s="1790">
        <f>'Part I-Project Information'!G126</f>
        <v>0</v>
      </c>
      <c r="H149" s="1790">
        <f>'Part I-Project Information'!H126</f>
        <v>0</v>
      </c>
      <c r="I149" s="1834" t="str">
        <f>'Part I-Project Information'!I126</f>
        <v>Direct</v>
      </c>
      <c r="J149" s="1790" t="str">
        <f>'Part I-Project Information'!J126</f>
        <v>Pennrose LLC</v>
      </c>
      <c r="K149" s="1790">
        <f>'Part I-Project Information'!K126</f>
        <v>0</v>
      </c>
      <c r="L149" s="1790">
        <f>'Part I-Project Information'!L126</f>
        <v>0</v>
      </c>
      <c r="M149" s="1790" t="str">
        <f>'Part I-Project Information'!M126</f>
        <v>WR Redevelopment Phase II</v>
      </c>
      <c r="N149" s="1790">
        <f>'Part I-Project Information'!N126</f>
        <v>0</v>
      </c>
      <c r="O149" s="1790">
        <f>'Part I-Project Information'!O126</f>
        <v>0</v>
      </c>
      <c r="P149" s="1834" t="str">
        <f>'Part I-Project Information'!P126</f>
        <v>Direct</v>
      </c>
    </row>
    <row r="150" spans="1:16" ht="13.8">
      <c r="A150" s="1779"/>
      <c r="B150" s="1779"/>
      <c r="C150" s="1790" t="str">
        <f>'Part I-Project Information'!C127</f>
        <v>FCS Urban Ministries</v>
      </c>
      <c r="D150" s="1790">
        <f>'Part I-Project Information'!D127</f>
        <v>0</v>
      </c>
      <c r="E150" s="1790">
        <f>'Part I-Project Information'!E127</f>
        <v>0</v>
      </c>
      <c r="F150" s="1790" t="str">
        <f>'Part I-Project Information'!F127</f>
        <v>Haven at South Atlanta</v>
      </c>
      <c r="G150" s="1790">
        <f>'Part I-Project Information'!G127</f>
        <v>0</v>
      </c>
      <c r="H150" s="1790">
        <f>'Part I-Project Information'!H127</f>
        <v>0</v>
      </c>
      <c r="I150" s="1834" t="str">
        <f>'Part I-Project Information'!I127</f>
        <v>Direct</v>
      </c>
      <c r="J150" s="1790" t="str">
        <f>'Part I-Project Information'!J127</f>
        <v>Hunt PR Holdings, LLC</v>
      </c>
      <c r="K150" s="1790">
        <f>'Part I-Project Information'!K127</f>
        <v>0</v>
      </c>
      <c r="L150" s="1790">
        <f>'Part I-Project Information'!L127</f>
        <v>0</v>
      </c>
      <c r="M150" s="1790" t="str">
        <f>'Part I-Project Information'!M127</f>
        <v>WR Redevelopment Phase II</v>
      </c>
      <c r="N150" s="1790">
        <f>'Part I-Project Information'!N127</f>
        <v>0</v>
      </c>
      <c r="O150" s="1790">
        <f>'Part I-Project Information'!O127</f>
        <v>0</v>
      </c>
      <c r="P150" s="1834" t="str">
        <f>'Part I-Project Information'!P127</f>
        <v>Direct</v>
      </c>
    </row>
    <row r="151" spans="1:16" ht="13.8">
      <c r="A151" s="1779"/>
      <c r="B151" s="1779"/>
      <c r="C151" s="1790" t="str">
        <f>'Part I-Project Information'!C128</f>
        <v>Pennrose Holdings LLC</v>
      </c>
      <c r="D151" s="1790">
        <f>'Part I-Project Information'!D128</f>
        <v>0</v>
      </c>
      <c r="E151" s="1790">
        <f>'Part I-Project Information'!E128</f>
        <v>0</v>
      </c>
      <c r="F151" s="1790" t="str">
        <f>'Part I-Project Information'!F128</f>
        <v>Haven at South Atlanta</v>
      </c>
      <c r="G151" s="1790">
        <f>'Part I-Project Information'!G128</f>
        <v>0</v>
      </c>
      <c r="H151" s="1790">
        <f>'Part I-Project Information'!H128</f>
        <v>0</v>
      </c>
      <c r="I151" s="1834" t="str">
        <f>'Part I-Project Information'!I128</f>
        <v>Direct</v>
      </c>
      <c r="J151" s="1790">
        <f>'Part I-Project Information'!J128</f>
        <v>10</v>
      </c>
      <c r="K151" s="1790">
        <f>'Part I-Project Information'!K128</f>
        <v>0</v>
      </c>
      <c r="L151" s="1790">
        <f>'Part I-Project Information'!L128</f>
        <v>0</v>
      </c>
      <c r="M151" s="1790">
        <f>'Part I-Project Information'!M128</f>
        <v>0</v>
      </c>
      <c r="N151" s="1790">
        <f>'Part I-Project Information'!N128</f>
        <v>0</v>
      </c>
      <c r="O151" s="1790">
        <f>'Part I-Project Information'!O128</f>
        <v>0</v>
      </c>
      <c r="P151" s="1834">
        <f>'Part I-Project Information'!P128</f>
        <v>0</v>
      </c>
    </row>
    <row r="152" spans="1:16" ht="13.8">
      <c r="A152" s="1779"/>
      <c r="B152" s="1779"/>
      <c r="C152" s="1790" t="str">
        <f>'Part I-Project Information'!C129</f>
        <v>Pennrose LLC</v>
      </c>
      <c r="D152" s="1790">
        <f>'Part I-Project Information'!D129</f>
        <v>0</v>
      </c>
      <c r="E152" s="1790">
        <f>'Part I-Project Information'!E129</f>
        <v>0</v>
      </c>
      <c r="F152" s="1790" t="str">
        <f>'Part I-Project Information'!F129</f>
        <v>Haven at South Atlanta</v>
      </c>
      <c r="G152" s="1790">
        <f>'Part I-Project Information'!G129</f>
        <v>0</v>
      </c>
      <c r="H152" s="1790">
        <f>'Part I-Project Information'!H129</f>
        <v>0</v>
      </c>
      <c r="I152" s="1834" t="str">
        <f>'Part I-Project Information'!I129</f>
        <v>Direct</v>
      </c>
      <c r="J152" s="1790">
        <f>'Part I-Project Information'!J129</f>
        <v>11</v>
      </c>
      <c r="K152" s="1790">
        <f>'Part I-Project Information'!K129</f>
        <v>0</v>
      </c>
      <c r="L152" s="1790">
        <f>'Part I-Project Information'!L129</f>
        <v>0</v>
      </c>
      <c r="M152" s="1790">
        <f>'Part I-Project Information'!M129</f>
        <v>0</v>
      </c>
      <c r="N152" s="1790">
        <f>'Part I-Project Information'!N129</f>
        <v>0</v>
      </c>
      <c r="O152" s="1790">
        <f>'Part I-Project Information'!O129</f>
        <v>0</v>
      </c>
      <c r="P152" s="1834">
        <f>'Part I-Project Information'!P129</f>
        <v>0</v>
      </c>
    </row>
    <row r="153" spans="1:16" ht="13.8">
      <c r="A153" s="1779"/>
      <c r="B153" s="1779"/>
      <c r="C153" s="1790" t="str">
        <f>'Part I-Project Information'!C130</f>
        <v>Hunt PR Holdings, LLC</v>
      </c>
      <c r="D153" s="1790">
        <f>'Part I-Project Information'!D130</f>
        <v>0</v>
      </c>
      <c r="E153" s="1790">
        <f>'Part I-Project Information'!E130</f>
        <v>0</v>
      </c>
      <c r="F153" s="1790" t="str">
        <f>'Part I-Project Information'!F130</f>
        <v>Haven at South Atlanta</v>
      </c>
      <c r="G153" s="1790">
        <f>'Part I-Project Information'!G130</f>
        <v>0</v>
      </c>
      <c r="H153" s="1790">
        <f>'Part I-Project Information'!H130</f>
        <v>0</v>
      </c>
      <c r="I153" s="1834" t="str">
        <f>'Part I-Project Information'!I130</f>
        <v>Direct</v>
      </c>
      <c r="J153" s="1790">
        <f>'Part I-Project Information'!J130</f>
        <v>12</v>
      </c>
      <c r="K153" s="1790">
        <f>'Part I-Project Information'!K130</f>
        <v>0</v>
      </c>
      <c r="L153" s="1790">
        <f>'Part I-Project Information'!L130</f>
        <v>0</v>
      </c>
      <c r="M153" s="1790">
        <f>'Part I-Project Information'!M130</f>
        <v>0</v>
      </c>
      <c r="N153" s="1790">
        <f>'Part I-Project Information'!N130</f>
        <v>0</v>
      </c>
      <c r="O153" s="1790">
        <f>'Part I-Project Information'!O130</f>
        <v>0</v>
      </c>
      <c r="P153" s="1834">
        <f>'Part I-Project Information'!P130</f>
        <v>0</v>
      </c>
    </row>
    <row r="154" spans="1:16" ht="13.8">
      <c r="A154" s="1779"/>
      <c r="B154" s="1779"/>
      <c r="C154" s="1832"/>
      <c r="D154" s="1832"/>
      <c r="E154" s="1832"/>
      <c r="F154" s="1832"/>
      <c r="G154" s="1832"/>
      <c r="H154" s="1832"/>
      <c r="I154" s="1832"/>
      <c r="J154" s="1832"/>
      <c r="K154" s="1832"/>
      <c r="L154" s="1832"/>
      <c r="M154" s="1832"/>
      <c r="N154" s="1832"/>
      <c r="O154" s="1832"/>
      <c r="P154" s="1832"/>
    </row>
    <row r="155" spans="1:16" ht="12.75" customHeight="1">
      <c r="A155" s="1779"/>
      <c r="B155" s="1779" t="s">
        <v>2088</v>
      </c>
      <c r="C155" s="1831" t="s">
        <v>1822</v>
      </c>
      <c r="D155" s="1831"/>
      <c r="E155" s="1831"/>
      <c r="F155" s="1831"/>
      <c r="G155" s="1831"/>
      <c r="H155" s="1831"/>
      <c r="I155" s="1831"/>
      <c r="J155" s="1831"/>
      <c r="K155" s="1831"/>
      <c r="L155" s="1831"/>
      <c r="M155" s="1831"/>
      <c r="N155" s="1831"/>
      <c r="O155" s="1831"/>
      <c r="P155" s="1831"/>
    </row>
    <row r="156" spans="1:16" ht="13.8">
      <c r="A156" s="1779"/>
      <c r="B156" s="1779"/>
      <c r="C156" s="1831"/>
      <c r="D156" s="1831"/>
      <c r="E156" s="1831"/>
      <c r="F156" s="1831"/>
      <c r="G156" s="1831"/>
      <c r="H156" s="1831"/>
      <c r="I156" s="1831"/>
      <c r="J156" s="1831"/>
      <c r="K156" s="1831"/>
      <c r="L156" s="1831"/>
      <c r="M156" s="1831"/>
      <c r="N156" s="1831"/>
      <c r="O156" s="1831"/>
      <c r="P156" s="1831"/>
    </row>
    <row r="157" spans="1:16" ht="13.8">
      <c r="A157" s="1778"/>
      <c r="B157" s="1779"/>
      <c r="C157" s="1796" t="s">
        <v>2108</v>
      </c>
      <c r="D157" s="1796"/>
      <c r="E157" s="1778"/>
      <c r="F157" s="1796" t="s">
        <v>1121</v>
      </c>
      <c r="G157" s="1779"/>
      <c r="H157" s="1779"/>
      <c r="I157" s="1779"/>
      <c r="J157" s="1796" t="s">
        <v>2108</v>
      </c>
      <c r="K157" s="1796"/>
      <c r="L157" s="1778"/>
      <c r="M157" s="1796" t="s">
        <v>1121</v>
      </c>
      <c r="N157" s="1779"/>
      <c r="O157" s="1779"/>
      <c r="P157" s="1779"/>
    </row>
    <row r="158" spans="1:16" ht="13.8">
      <c r="A158" s="1779"/>
      <c r="B158" s="1779"/>
      <c r="C158" s="1790">
        <f>'Part I-Project Information'!C135</f>
        <v>1</v>
      </c>
      <c r="D158" s="1790">
        <f>'Part I-Project Information'!D135</f>
        <v>0</v>
      </c>
      <c r="E158" s="1790">
        <f>'Part I-Project Information'!E135</f>
        <v>0</v>
      </c>
      <c r="F158" s="1790">
        <f>'Part I-Project Information'!F135</f>
        <v>0</v>
      </c>
      <c r="G158" s="1790">
        <f>'Part I-Project Information'!G135</f>
        <v>0</v>
      </c>
      <c r="H158" s="1790">
        <f>'Part I-Project Information'!H135</f>
        <v>0</v>
      </c>
      <c r="I158" s="1790">
        <f>'Part I-Project Information'!I135</f>
        <v>0</v>
      </c>
      <c r="J158" s="1790">
        <f>'Part I-Project Information'!J135</f>
        <v>7</v>
      </c>
      <c r="K158" s="1790">
        <f>'Part I-Project Information'!K135</f>
        <v>0</v>
      </c>
      <c r="L158" s="1790">
        <f>'Part I-Project Information'!L135</f>
        <v>0</v>
      </c>
      <c r="M158" s="1790">
        <f>'Part I-Project Information'!M135</f>
        <v>0</v>
      </c>
      <c r="N158" s="1790">
        <f>'Part I-Project Information'!N135</f>
        <v>0</v>
      </c>
      <c r="O158" s="1790">
        <f>'Part I-Project Information'!O135</f>
        <v>0</v>
      </c>
      <c r="P158" s="1790">
        <f>'Part I-Project Information'!P135</f>
        <v>0</v>
      </c>
    </row>
    <row r="159" spans="1:16" ht="13.8">
      <c r="A159" s="1779"/>
      <c r="B159" s="1779"/>
      <c r="C159" s="1790">
        <f>'Part I-Project Information'!C136</f>
        <v>2</v>
      </c>
      <c r="D159" s="1790">
        <f>'Part I-Project Information'!D136</f>
        <v>0</v>
      </c>
      <c r="E159" s="1790">
        <f>'Part I-Project Information'!E136</f>
        <v>0</v>
      </c>
      <c r="F159" s="1790">
        <f>'Part I-Project Information'!F136</f>
        <v>0</v>
      </c>
      <c r="G159" s="1790">
        <f>'Part I-Project Information'!G136</f>
        <v>0</v>
      </c>
      <c r="H159" s="1790">
        <f>'Part I-Project Information'!H136</f>
        <v>0</v>
      </c>
      <c r="I159" s="1790">
        <f>'Part I-Project Information'!I136</f>
        <v>0</v>
      </c>
      <c r="J159" s="1790">
        <f>'Part I-Project Information'!J136</f>
        <v>8</v>
      </c>
      <c r="K159" s="1790">
        <f>'Part I-Project Information'!K136</f>
        <v>0</v>
      </c>
      <c r="L159" s="1790">
        <f>'Part I-Project Information'!L136</f>
        <v>0</v>
      </c>
      <c r="M159" s="1790">
        <f>'Part I-Project Information'!M136</f>
        <v>0</v>
      </c>
      <c r="N159" s="1790">
        <f>'Part I-Project Information'!N136</f>
        <v>0</v>
      </c>
      <c r="O159" s="1790">
        <f>'Part I-Project Information'!O136</f>
        <v>0</v>
      </c>
      <c r="P159" s="1790">
        <f>'Part I-Project Information'!P136</f>
        <v>0</v>
      </c>
    </row>
    <row r="160" spans="1:16" ht="13.8">
      <c r="A160" s="1779"/>
      <c r="B160" s="1779"/>
      <c r="C160" s="1790">
        <f>'Part I-Project Information'!C137</f>
        <v>3</v>
      </c>
      <c r="D160" s="1790">
        <f>'Part I-Project Information'!D137</f>
        <v>0</v>
      </c>
      <c r="E160" s="1790">
        <f>'Part I-Project Information'!E137</f>
        <v>0</v>
      </c>
      <c r="F160" s="1790">
        <f>'Part I-Project Information'!F137</f>
        <v>0</v>
      </c>
      <c r="G160" s="1790">
        <f>'Part I-Project Information'!G137</f>
        <v>0</v>
      </c>
      <c r="H160" s="1790">
        <f>'Part I-Project Information'!H137</f>
        <v>0</v>
      </c>
      <c r="I160" s="1790">
        <f>'Part I-Project Information'!I137</f>
        <v>0</v>
      </c>
      <c r="J160" s="1790">
        <f>'Part I-Project Information'!J137</f>
        <v>9</v>
      </c>
      <c r="K160" s="1790">
        <f>'Part I-Project Information'!K137</f>
        <v>0</v>
      </c>
      <c r="L160" s="1790">
        <f>'Part I-Project Information'!L137</f>
        <v>0</v>
      </c>
      <c r="M160" s="1790">
        <f>'Part I-Project Information'!M137</f>
        <v>0</v>
      </c>
      <c r="N160" s="1790">
        <f>'Part I-Project Information'!N137</f>
        <v>0</v>
      </c>
      <c r="O160" s="1790">
        <f>'Part I-Project Information'!O137</f>
        <v>0</v>
      </c>
      <c r="P160" s="1790">
        <f>'Part I-Project Information'!P137</f>
        <v>0</v>
      </c>
    </row>
    <row r="161" spans="1:16" ht="13.8">
      <c r="A161" s="1779"/>
      <c r="B161" s="1779"/>
      <c r="C161" s="1790">
        <f>'Part I-Project Information'!C138</f>
        <v>4</v>
      </c>
      <c r="D161" s="1790">
        <f>'Part I-Project Information'!D138</f>
        <v>0</v>
      </c>
      <c r="E161" s="1790">
        <f>'Part I-Project Information'!E138</f>
        <v>0</v>
      </c>
      <c r="F161" s="1790">
        <f>'Part I-Project Information'!F138</f>
        <v>0</v>
      </c>
      <c r="G161" s="1790">
        <f>'Part I-Project Information'!G138</f>
        <v>0</v>
      </c>
      <c r="H161" s="1790">
        <f>'Part I-Project Information'!H138</f>
        <v>0</v>
      </c>
      <c r="I161" s="1790">
        <f>'Part I-Project Information'!I138</f>
        <v>0</v>
      </c>
      <c r="J161" s="1790">
        <f>'Part I-Project Information'!J138</f>
        <v>10</v>
      </c>
      <c r="K161" s="1790">
        <f>'Part I-Project Information'!K138</f>
        <v>0</v>
      </c>
      <c r="L161" s="1790">
        <f>'Part I-Project Information'!L138</f>
        <v>0</v>
      </c>
      <c r="M161" s="1790">
        <f>'Part I-Project Information'!M138</f>
        <v>0</v>
      </c>
      <c r="N161" s="1790">
        <f>'Part I-Project Information'!N138</f>
        <v>0</v>
      </c>
      <c r="O161" s="1790">
        <f>'Part I-Project Information'!O138</f>
        <v>0</v>
      </c>
      <c r="P161" s="1790">
        <f>'Part I-Project Information'!P138</f>
        <v>0</v>
      </c>
    </row>
    <row r="162" spans="1:16" ht="13.8">
      <c r="A162" s="1779"/>
      <c r="B162" s="1779"/>
      <c r="C162" s="1790">
        <f>'Part I-Project Information'!C139</f>
        <v>5</v>
      </c>
      <c r="D162" s="1790">
        <f>'Part I-Project Information'!D139</f>
        <v>0</v>
      </c>
      <c r="E162" s="1790">
        <f>'Part I-Project Information'!E139</f>
        <v>0</v>
      </c>
      <c r="F162" s="1790">
        <f>'Part I-Project Information'!F139</f>
        <v>0</v>
      </c>
      <c r="G162" s="1790">
        <f>'Part I-Project Information'!G139</f>
        <v>0</v>
      </c>
      <c r="H162" s="1790">
        <f>'Part I-Project Information'!H139</f>
        <v>0</v>
      </c>
      <c r="I162" s="1790">
        <f>'Part I-Project Information'!I139</f>
        <v>0</v>
      </c>
      <c r="J162" s="1790">
        <f>'Part I-Project Information'!J139</f>
        <v>11</v>
      </c>
      <c r="K162" s="1790">
        <f>'Part I-Project Information'!K139</f>
        <v>0</v>
      </c>
      <c r="L162" s="1790">
        <f>'Part I-Project Information'!L139</f>
        <v>0</v>
      </c>
      <c r="M162" s="1790">
        <f>'Part I-Project Information'!M139</f>
        <v>0</v>
      </c>
      <c r="N162" s="1790">
        <f>'Part I-Project Information'!N139</f>
        <v>0</v>
      </c>
      <c r="O162" s="1790">
        <f>'Part I-Project Information'!O139</f>
        <v>0</v>
      </c>
      <c r="P162" s="1790">
        <f>'Part I-Project Information'!P139</f>
        <v>0</v>
      </c>
    </row>
    <row r="163" spans="1:16" ht="13.8">
      <c r="A163" s="1779"/>
      <c r="B163" s="1779"/>
      <c r="C163" s="1790">
        <f>'Part I-Project Information'!C140</f>
        <v>6</v>
      </c>
      <c r="D163" s="1790">
        <f>'Part I-Project Information'!D140</f>
        <v>0</v>
      </c>
      <c r="E163" s="1790">
        <f>'Part I-Project Information'!E140</f>
        <v>0</v>
      </c>
      <c r="F163" s="1790">
        <f>'Part I-Project Information'!F140</f>
        <v>0</v>
      </c>
      <c r="G163" s="1790">
        <f>'Part I-Project Information'!G140</f>
        <v>0</v>
      </c>
      <c r="H163" s="1790">
        <f>'Part I-Project Information'!H140</f>
        <v>0</v>
      </c>
      <c r="I163" s="1790">
        <f>'Part I-Project Information'!I140</f>
        <v>0</v>
      </c>
      <c r="J163" s="1790">
        <f>'Part I-Project Information'!J140</f>
        <v>12</v>
      </c>
      <c r="K163" s="1790">
        <f>'Part I-Project Information'!K140</f>
        <v>0</v>
      </c>
      <c r="L163" s="1790">
        <f>'Part I-Project Information'!L140</f>
        <v>0</v>
      </c>
      <c r="M163" s="1790">
        <f>'Part I-Project Information'!M140</f>
        <v>0</v>
      </c>
      <c r="N163" s="1790">
        <f>'Part I-Project Information'!N140</f>
        <v>0</v>
      </c>
      <c r="O163" s="1790">
        <f>'Part I-Project Information'!O140</f>
        <v>0</v>
      </c>
      <c r="P163" s="1790">
        <f>'Part I-Project Information'!P140</f>
        <v>0</v>
      </c>
    </row>
    <row r="164" spans="1:16" ht="13.8">
      <c r="A164" s="1779"/>
      <c r="B164" s="1779"/>
      <c r="C164" s="1796"/>
      <c r="D164" s="1796"/>
      <c r="E164" s="1796"/>
      <c r="F164" s="1779"/>
      <c r="G164" s="1779"/>
      <c r="H164" s="1779"/>
      <c r="I164" s="1779"/>
      <c r="J164" s="1802"/>
      <c r="K164" s="1779"/>
      <c r="L164" s="1779"/>
      <c r="M164" s="1778"/>
      <c r="N164" s="1778"/>
      <c r="O164" s="1778"/>
      <c r="P164" s="1799"/>
    </row>
    <row r="165" spans="1:16" ht="13.8">
      <c r="A165" s="1779"/>
      <c r="B165" s="1779"/>
      <c r="C165" s="1796"/>
      <c r="D165" s="1796"/>
      <c r="E165" s="1796"/>
      <c r="F165" s="1779"/>
      <c r="G165" s="1779"/>
      <c r="H165" s="1779"/>
      <c r="I165" s="1779"/>
      <c r="J165" s="1802"/>
      <c r="K165" s="1779"/>
      <c r="L165" s="1779"/>
      <c r="M165" s="1778"/>
      <c r="N165" s="1778"/>
      <c r="O165" s="1778"/>
      <c r="P165" s="1799"/>
    </row>
    <row r="166" spans="1:16" ht="13.8">
      <c r="A166" s="1778" t="s">
        <v>361</v>
      </c>
      <c r="B166" s="1778" t="s">
        <v>4761</v>
      </c>
      <c r="C166" s="1778"/>
      <c r="D166" s="1778"/>
      <c r="E166" s="1778"/>
      <c r="F166" s="1778"/>
      <c r="G166" s="1778"/>
      <c r="H166" s="1778"/>
      <c r="I166" s="1779" t="str">
        <f>'Part I-Project Information'!I143</f>
        <v>No</v>
      </c>
      <c r="J166" s="1778"/>
      <c r="K166" s="1778"/>
      <c r="L166" s="1778"/>
      <c r="M166" s="1779"/>
      <c r="N166" s="1778"/>
      <c r="O166" s="1778"/>
      <c r="P166" s="1799"/>
    </row>
    <row r="167" spans="1:16" ht="13.8">
      <c r="A167" s="1787"/>
      <c r="B167" s="1779"/>
      <c r="C167" s="1796"/>
      <c r="D167" s="1796"/>
      <c r="E167" s="1796"/>
      <c r="F167" s="1796"/>
      <c r="G167" s="1779"/>
      <c r="H167" s="1778"/>
      <c r="I167" s="1778"/>
      <c r="J167" s="1778"/>
      <c r="K167" s="1778"/>
      <c r="L167" s="1778"/>
      <c r="M167" s="1779"/>
      <c r="N167" s="1778"/>
      <c r="O167" s="1778"/>
      <c r="P167" s="1778"/>
    </row>
    <row r="168" spans="1:16" ht="13.8">
      <c r="A168" s="1779"/>
      <c r="B168" s="1779" t="s">
        <v>1957</v>
      </c>
      <c r="C168" s="1781" t="s">
        <v>1692</v>
      </c>
      <c r="D168" s="1778"/>
      <c r="E168" s="1778"/>
      <c r="F168" s="1778"/>
      <c r="G168" s="1778"/>
      <c r="H168" s="1778"/>
      <c r="I168" s="1779">
        <f>'Part I-Project Information'!I145</f>
        <v>0</v>
      </c>
      <c r="J168" s="1778"/>
      <c r="K168" s="1778"/>
      <c r="L168" s="1778"/>
      <c r="M168" s="1779"/>
      <c r="N168" s="1778"/>
      <c r="O168" s="1778"/>
      <c r="P168" s="1799"/>
    </row>
    <row r="169" spans="1:16" ht="13.8">
      <c r="A169" s="1779"/>
      <c r="B169" s="1779"/>
      <c r="C169" s="1796" t="s">
        <v>2388</v>
      </c>
      <c r="D169" s="1796"/>
      <c r="E169" s="1796"/>
      <c r="F169" s="1779"/>
      <c r="G169" s="1778"/>
      <c r="H169" s="1778"/>
      <c r="I169" s="1779">
        <f>'Part I-Project Information'!I146</f>
        <v>0</v>
      </c>
      <c r="J169" s="1778"/>
      <c r="K169" s="1778"/>
      <c r="L169" s="1778"/>
      <c r="M169" s="1778"/>
      <c r="N169" s="1778"/>
      <c r="O169" s="1778"/>
      <c r="P169" s="1799"/>
    </row>
    <row r="170" spans="1:16" ht="13.8">
      <c r="A170" s="1779"/>
      <c r="B170" s="1779"/>
      <c r="C170" s="1835" t="s">
        <v>1691</v>
      </c>
      <c r="D170" s="1781"/>
      <c r="E170" s="1778"/>
      <c r="F170" s="1778"/>
      <c r="G170" s="1778"/>
      <c r="H170" s="1778"/>
      <c r="I170" s="1779">
        <f>'Part I-Project Information'!I147</f>
        <v>0</v>
      </c>
      <c r="J170" s="1778"/>
      <c r="K170" s="1778"/>
      <c r="L170" s="1778"/>
      <c r="M170" s="1778"/>
      <c r="N170" s="1778"/>
      <c r="O170" s="1778"/>
      <c r="P170" s="1799"/>
    </row>
    <row r="171" spans="1:16" ht="13.8">
      <c r="A171" s="1779"/>
      <c r="B171" s="1779"/>
      <c r="C171" s="1796" t="s">
        <v>2389</v>
      </c>
      <c r="D171" s="1796"/>
      <c r="E171" s="1796"/>
      <c r="F171" s="1779"/>
      <c r="G171" s="1778"/>
      <c r="H171" s="1778"/>
      <c r="I171" s="1779">
        <f>'Part I-Project Information'!I148</f>
        <v>0</v>
      </c>
      <c r="J171" s="1778"/>
      <c r="K171" s="1787" t="s">
        <v>2217</v>
      </c>
      <c r="L171" s="1778"/>
      <c r="M171" s="1778"/>
      <c r="N171" s="1778"/>
      <c r="O171" s="1778" t="str">
        <f>'Part I-Project Information'!O148</f>
        <v>GA-</v>
      </c>
      <c r="P171" s="1778">
        <f>'Part I-Project Information'!P148</f>
        <v>0</v>
      </c>
    </row>
    <row r="172" spans="1:16" ht="13.8">
      <c r="A172" s="1779"/>
      <c r="B172" s="1779"/>
      <c r="C172" s="1796" t="s">
        <v>2387</v>
      </c>
      <c r="D172" s="1778"/>
      <c r="E172" s="1778"/>
      <c r="F172" s="1779"/>
      <c r="G172" s="1778"/>
      <c r="H172" s="1778"/>
      <c r="I172" s="1779">
        <f>'Part I-Project Information'!I149</f>
        <v>0</v>
      </c>
      <c r="J172" s="1778"/>
      <c r="K172" s="1787" t="s">
        <v>2218</v>
      </c>
      <c r="L172" s="1778"/>
      <c r="M172" s="1778"/>
      <c r="N172" s="1778"/>
      <c r="O172" s="1778" t="str">
        <f>'Part I-Project Information'!O149</f>
        <v>GA-</v>
      </c>
      <c r="P172" s="1778">
        <f>'Part I-Project Information'!P149</f>
        <v>0</v>
      </c>
    </row>
    <row r="173" spans="1:16" ht="13.8">
      <c r="A173" s="1779"/>
      <c r="B173" s="1779"/>
      <c r="C173" s="1796" t="s">
        <v>2139</v>
      </c>
      <c r="D173" s="1796"/>
      <c r="E173" s="1796"/>
      <c r="F173" s="1779"/>
      <c r="G173" s="1778"/>
      <c r="H173" s="1778"/>
      <c r="I173" s="1829">
        <f>'Part I-Project Information'!I150</f>
        <v>0</v>
      </c>
      <c r="J173" s="1829">
        <f>'Part I-Project Information'!J150</f>
        <v>0</v>
      </c>
      <c r="K173" s="1778"/>
      <c r="L173" s="1778"/>
      <c r="M173" s="1778"/>
      <c r="N173" s="1778"/>
      <c r="O173" s="1778"/>
      <c r="P173" s="1799"/>
    </row>
    <row r="174" spans="1:16" ht="13.8">
      <c r="A174" s="1779"/>
      <c r="B174" s="1779"/>
      <c r="C174" s="1796"/>
      <c r="D174" s="1796"/>
      <c r="E174" s="1796"/>
      <c r="F174" s="1779"/>
      <c r="G174" s="1779"/>
      <c r="H174" s="1778"/>
      <c r="I174" s="1778"/>
      <c r="J174" s="1778"/>
      <c r="K174" s="1778"/>
      <c r="L174" s="1778"/>
      <c r="M174" s="1779"/>
      <c r="N174" s="1778"/>
      <c r="O174" s="1778"/>
      <c r="P174" s="1799"/>
    </row>
    <row r="175" spans="1:16" ht="13.8">
      <c r="A175" s="1779"/>
      <c r="B175" s="1779" t="s">
        <v>1959</v>
      </c>
      <c r="C175" s="1836" t="s">
        <v>2663</v>
      </c>
      <c r="D175" s="1796"/>
      <c r="E175" s="1792" t="s">
        <v>5023</v>
      </c>
      <c r="F175" s="1792"/>
      <c r="G175" s="1792"/>
      <c r="H175" s="1778"/>
      <c r="I175" s="1802">
        <f>'Part I-Project Information'!I152</f>
        <v>0</v>
      </c>
      <c r="J175" s="1778"/>
      <c r="K175" s="1792" t="s">
        <v>4723</v>
      </c>
      <c r="L175" s="1792"/>
      <c r="M175" s="1792"/>
      <c r="N175" s="1778"/>
      <c r="O175" s="1802">
        <f>'Part I-Project Information'!O152</f>
        <v>0</v>
      </c>
      <c r="P175" s="1799"/>
    </row>
    <row r="176" spans="1:16" ht="13.8">
      <c r="A176" s="1779"/>
      <c r="B176" s="1778"/>
      <c r="C176" s="1796"/>
      <c r="D176" s="1796"/>
      <c r="E176" s="1792" t="s">
        <v>5024</v>
      </c>
      <c r="F176" s="1792"/>
      <c r="G176" s="1792"/>
      <c r="H176" s="1778"/>
      <c r="I176" s="1802">
        <f>'Part I-Project Information'!I153</f>
        <v>0</v>
      </c>
      <c r="J176" s="1778"/>
      <c r="K176" s="1792"/>
      <c r="L176" s="1792"/>
      <c r="M176" s="1792"/>
      <c r="N176" s="1778"/>
      <c r="O176" s="1778"/>
      <c r="P176" s="1799"/>
    </row>
    <row r="177" spans="1:16" ht="13.8">
      <c r="A177" s="1779"/>
      <c r="B177" s="1779"/>
      <c r="C177" s="1796"/>
      <c r="D177" s="1796"/>
      <c r="E177" s="1796"/>
      <c r="F177" s="1779"/>
      <c r="G177" s="1778"/>
      <c r="H177" s="1778"/>
      <c r="I177" s="1778"/>
      <c r="J177" s="1778"/>
      <c r="K177" s="1778"/>
      <c r="L177" s="1778"/>
      <c r="M177" s="1778"/>
      <c r="N177" s="1778"/>
      <c r="O177" s="1778"/>
      <c r="P177" s="1799"/>
    </row>
    <row r="178" spans="1:16" ht="13.8">
      <c r="A178" s="1779"/>
      <c r="B178" s="1779" t="s">
        <v>738</v>
      </c>
      <c r="C178" s="1796" t="s">
        <v>4720</v>
      </c>
      <c r="D178" s="1796"/>
      <c r="E178" s="1796"/>
      <c r="F178" s="1779"/>
      <c r="G178" s="1778"/>
      <c r="H178" s="1778"/>
      <c r="I178" s="1802">
        <f>'Part I-Project Information'!I155</f>
        <v>0</v>
      </c>
      <c r="J178" s="1778"/>
      <c r="K178" s="1778"/>
      <c r="L178" s="1778"/>
      <c r="M178" s="1778"/>
      <c r="N178" s="1778"/>
      <c r="O178" s="1778"/>
      <c r="P178" s="1799"/>
    </row>
    <row r="179" spans="1:16" ht="13.8">
      <c r="A179" s="1779"/>
      <c r="B179" s="1779"/>
      <c r="C179" s="1796"/>
      <c r="D179" s="1796"/>
      <c r="E179" s="1796"/>
      <c r="F179" s="1779"/>
      <c r="G179" s="1779"/>
      <c r="H179" s="1779"/>
      <c r="I179" s="1779"/>
      <c r="J179" s="1802"/>
      <c r="K179" s="1779"/>
      <c r="L179" s="1779"/>
      <c r="M179" s="1778"/>
      <c r="N179" s="1778"/>
      <c r="O179" s="1778"/>
      <c r="P179" s="1799"/>
    </row>
    <row r="180" spans="1:16" ht="13.8">
      <c r="A180" s="1787" t="s">
        <v>1705</v>
      </c>
      <c r="B180" s="1792" t="s">
        <v>1175</v>
      </c>
      <c r="C180" s="1778"/>
      <c r="D180" s="1792"/>
      <c r="E180" s="1792"/>
      <c r="F180" s="1792"/>
      <c r="G180" s="1779"/>
      <c r="H180" s="1779"/>
      <c r="I180" s="1779"/>
      <c r="J180" s="1802"/>
      <c r="K180" s="1779"/>
      <c r="L180" s="1779"/>
      <c r="M180" s="1778"/>
      <c r="N180" s="1778"/>
      <c r="O180" s="1778"/>
      <c r="P180" s="1799"/>
    </row>
    <row r="181" spans="1:16" ht="13.8">
      <c r="A181" s="1787"/>
      <c r="B181" s="1779"/>
      <c r="C181" s="1796"/>
      <c r="D181" s="1796"/>
      <c r="E181" s="1796"/>
      <c r="F181" s="1796"/>
      <c r="G181" s="1779"/>
      <c r="H181" s="1779"/>
      <c r="I181" s="1779"/>
      <c r="J181" s="1802"/>
      <c r="K181" s="1779"/>
      <c r="L181" s="1779"/>
      <c r="M181" s="1778"/>
      <c r="N181" s="1778"/>
      <c r="O181" s="1778"/>
      <c r="P181" s="1778"/>
    </row>
    <row r="182" spans="1:16" ht="13.8">
      <c r="A182" s="1779"/>
      <c r="B182" s="1779" t="s">
        <v>1957</v>
      </c>
      <c r="C182" s="1802" t="s">
        <v>1797</v>
      </c>
      <c r="D182" s="1778"/>
      <c r="E182" s="1778"/>
      <c r="F182" s="1779"/>
      <c r="G182" s="1779"/>
      <c r="H182" s="1779"/>
      <c r="I182" s="1779"/>
      <c r="J182" s="1802"/>
      <c r="K182" s="1779"/>
      <c r="L182" s="1779"/>
      <c r="M182" s="1778"/>
      <c r="N182" s="1778"/>
      <c r="O182" s="1778"/>
      <c r="P182" s="1799"/>
    </row>
    <row r="183" spans="1:16" ht="13.8">
      <c r="A183" s="1779"/>
      <c r="B183" s="1779"/>
      <c r="C183" s="1792" t="s">
        <v>1509</v>
      </c>
      <c r="D183" s="1802"/>
      <c r="E183" s="1802"/>
      <c r="F183" s="1779"/>
      <c r="G183" s="1779"/>
      <c r="H183" s="1779"/>
      <c r="I183" s="1802" t="str">
        <f>'Part I-Project Information'!I160</f>
        <v>No</v>
      </c>
      <c r="J183" s="1778"/>
      <c r="K183" s="1778"/>
      <c r="L183" s="1778"/>
      <c r="M183" s="1778"/>
      <c r="N183" s="1778"/>
      <c r="O183" s="1778"/>
      <c r="P183" s="1799"/>
    </row>
    <row r="184" spans="1:16" ht="12.75" customHeight="1">
      <c r="A184" s="1779"/>
      <c r="B184" s="1779"/>
      <c r="C184" s="1777" t="s">
        <v>4752</v>
      </c>
      <c r="D184" s="1777"/>
      <c r="E184" s="1777"/>
      <c r="F184" s="1777"/>
      <c r="G184" s="1778" t="s">
        <v>4449</v>
      </c>
      <c r="H184" s="1778"/>
      <c r="I184" s="1823">
        <f>'Part I-Project Information'!I161</f>
        <v>0</v>
      </c>
      <c r="J184" s="1778"/>
      <c r="K184" s="1781" t="s">
        <v>1773</v>
      </c>
      <c r="L184" s="1778"/>
      <c r="M184" s="1778"/>
      <c r="N184" s="1778"/>
      <c r="O184" s="1778"/>
      <c r="P184" s="1837">
        <f>IF('Part VI-Revenues &amp; Expenses'!$O$65=0,0,I184/'Part VI-Revenues &amp; Expenses'!$O$65)</f>
        <v>0</v>
      </c>
    </row>
    <row r="185" spans="1:16" ht="13.8">
      <c r="A185" s="1779"/>
      <c r="B185" s="1779"/>
      <c r="C185" s="1777"/>
      <c r="D185" s="1777"/>
      <c r="E185" s="1777"/>
      <c r="F185" s="1777"/>
      <c r="G185" s="1778" t="s">
        <v>4448</v>
      </c>
      <c r="H185" s="1778"/>
      <c r="I185" s="1823">
        <f>'Part I-Project Information'!I162</f>
        <v>0</v>
      </c>
      <c r="J185" s="1778"/>
      <c r="K185" s="1781" t="s">
        <v>1773</v>
      </c>
      <c r="L185" s="1778"/>
      <c r="M185" s="1778"/>
      <c r="N185" s="1778"/>
      <c r="O185" s="1778"/>
      <c r="P185" s="1837">
        <f>IF('Part VI-Revenues &amp; Expenses'!$O$65=0,0,I185/'Part VI-Revenues &amp; Expenses'!$O$65)</f>
        <v>0</v>
      </c>
    </row>
    <row r="186" spans="1:16" ht="13.8">
      <c r="A186" s="1779"/>
      <c r="B186" s="1779"/>
      <c r="C186" s="1781" t="s">
        <v>4450</v>
      </c>
      <c r="D186" s="1778"/>
      <c r="E186" s="1778"/>
      <c r="F186" s="1778"/>
      <c r="G186" s="1778"/>
      <c r="H186" s="1778"/>
      <c r="I186" s="1823">
        <f>'Part I-Project Information'!I163</f>
        <v>0</v>
      </c>
      <c r="J186" s="1778"/>
      <c r="K186" s="1781" t="s">
        <v>1773</v>
      </c>
      <c r="L186" s="1778"/>
      <c r="M186" s="1778"/>
      <c r="N186" s="1778"/>
      <c r="O186" s="1837"/>
      <c r="P186" s="1837">
        <f>IF('Part VI-Revenues &amp; Expenses'!$O$65=0,0,I186/'Part VI-Revenues &amp; Expenses'!$O$65)</f>
        <v>0</v>
      </c>
    </row>
    <row r="187" spans="1:16" ht="13.8">
      <c r="A187" s="1779"/>
      <c r="B187" s="1779"/>
      <c r="C187" s="1778"/>
      <c r="D187" s="1778"/>
      <c r="E187" s="1778"/>
      <c r="F187" s="1778"/>
      <c r="G187" s="1778"/>
      <c r="H187" s="1778"/>
      <c r="I187" s="1778"/>
      <c r="J187" s="1778"/>
      <c r="K187" s="1778"/>
      <c r="L187" s="1778"/>
      <c r="M187" s="1778"/>
      <c r="N187" s="1778"/>
      <c r="O187" s="1778"/>
      <c r="P187" s="1778"/>
    </row>
    <row r="188" spans="1:16" ht="13.8">
      <c r="A188" s="1779"/>
      <c r="B188" s="1779"/>
      <c r="C188" s="1778" t="s">
        <v>1774</v>
      </c>
      <c r="D188" s="1778">
        <f>'Part I-Project Information'!D165</f>
        <v>0</v>
      </c>
      <c r="E188" s="1778">
        <f>'Part I-Project Information'!E165</f>
        <v>0</v>
      </c>
      <c r="F188" s="1778">
        <f>'Part I-Project Information'!F165</f>
        <v>0</v>
      </c>
      <c r="G188" s="1778">
        <f>'Part I-Project Information'!G165</f>
        <v>0</v>
      </c>
      <c r="H188" s="1778">
        <f>'Part I-Project Information'!H165</f>
        <v>0</v>
      </c>
      <c r="I188" s="1781" t="s">
        <v>4394</v>
      </c>
      <c r="J188" s="1778"/>
      <c r="K188" s="1778"/>
      <c r="L188" s="1778"/>
      <c r="M188" s="1778"/>
      <c r="N188" s="1798">
        <f>'Part I-Project Information'!N165</f>
        <v>0</v>
      </c>
      <c r="O188" s="1798">
        <f>'Part I-Project Information'!O165</f>
        <v>0</v>
      </c>
      <c r="P188" s="1798">
        <f>'Part I-Project Information'!P165</f>
        <v>0</v>
      </c>
    </row>
    <row r="189" spans="1:16" ht="13.8">
      <c r="A189" s="1779"/>
      <c r="B189" s="1779"/>
      <c r="C189" s="1781" t="s">
        <v>4395</v>
      </c>
      <c r="D189" s="1778">
        <f>'Part I-Project Information'!D166</f>
        <v>0</v>
      </c>
      <c r="E189" s="1778">
        <f>'Part I-Project Information'!E166</f>
        <v>0</v>
      </c>
      <c r="F189" s="1778">
        <f>'Part I-Project Information'!F166</f>
        <v>0</v>
      </c>
      <c r="G189" s="1778">
        <f>'Part I-Project Information'!G166</f>
        <v>0</v>
      </c>
      <c r="H189" s="1778">
        <f>'Part I-Project Information'!H166</f>
        <v>0</v>
      </c>
      <c r="I189" s="1778" t="s">
        <v>1775</v>
      </c>
      <c r="J189" s="1778">
        <f>'Part I-Project Information'!J166</f>
        <v>0</v>
      </c>
      <c r="K189" s="1778">
        <f>'Part I-Project Information'!K166</f>
        <v>0</v>
      </c>
      <c r="L189" s="1778">
        <f>'Part I-Project Information'!L166</f>
        <v>0</v>
      </c>
      <c r="M189" s="1778" t="s">
        <v>1954</v>
      </c>
      <c r="N189" s="1798">
        <f>'Part I-Project Information'!N166</f>
        <v>0</v>
      </c>
      <c r="O189" s="1798">
        <f>'Part I-Project Information'!O166</f>
        <v>0</v>
      </c>
      <c r="P189" s="1798">
        <f>'Part I-Project Information'!P166</f>
        <v>0</v>
      </c>
    </row>
    <row r="190" spans="1:16" ht="13.8">
      <c r="A190" s="1779"/>
      <c r="B190" s="1779"/>
      <c r="C190" s="1781" t="s">
        <v>607</v>
      </c>
      <c r="D190" s="1778">
        <f>'Part I-Project Information'!D167</f>
        <v>0</v>
      </c>
      <c r="E190" s="1778">
        <f>'Part I-Project Information'!E167</f>
        <v>0</v>
      </c>
      <c r="F190" s="1778" t="s">
        <v>2201</v>
      </c>
      <c r="G190" s="1797">
        <f>'Part I-Project Information'!G167</f>
        <v>0</v>
      </c>
      <c r="H190" s="1797">
        <f>'Part I-Project Information'!H167</f>
        <v>0</v>
      </c>
      <c r="I190" s="1781" t="s">
        <v>1778</v>
      </c>
      <c r="J190" s="1778">
        <f>'Part I-Project Information'!J167</f>
        <v>0</v>
      </c>
      <c r="K190" s="1778">
        <f>'Part I-Project Information'!K167</f>
        <v>0</v>
      </c>
      <c r="L190" s="1778">
        <f>'Part I-Project Information'!L167</f>
        <v>0</v>
      </c>
      <c r="M190" s="1778" t="s">
        <v>1953</v>
      </c>
      <c r="N190" s="1798">
        <f>'Part I-Project Information'!N167</f>
        <v>0</v>
      </c>
      <c r="O190" s="1798">
        <f>'Part I-Project Information'!O167</f>
        <v>0</v>
      </c>
      <c r="P190" s="1798">
        <f>'Part I-Project Information'!P167</f>
        <v>0</v>
      </c>
    </row>
    <row r="191" spans="1:16" ht="13.8">
      <c r="A191" s="1779"/>
      <c r="B191" s="1779"/>
      <c r="C191" s="1778" t="s">
        <v>2666</v>
      </c>
      <c r="D191" s="1778">
        <f>'Part I-Project Information'!D168</f>
        <v>0</v>
      </c>
      <c r="E191" s="1778">
        <f>'Part I-Project Information'!E168</f>
        <v>0</v>
      </c>
      <c r="F191" s="1778">
        <f>'Part I-Project Information'!F168</f>
        <v>0</v>
      </c>
      <c r="G191" s="1778">
        <f>'Part I-Project Information'!G168</f>
        <v>0</v>
      </c>
      <c r="H191" s="1778">
        <f>'Part I-Project Information'!H168</f>
        <v>0</v>
      </c>
      <c r="I191" s="1781" t="s">
        <v>1777</v>
      </c>
      <c r="J191" s="1794">
        <f>'Part I-Project Information'!J168</f>
        <v>0</v>
      </c>
      <c r="K191" s="1794">
        <f>'Part I-Project Information'!K168</f>
        <v>0</v>
      </c>
      <c r="L191" s="1794">
        <f>'Part I-Project Information'!L168</f>
        <v>0</v>
      </c>
      <c r="M191" s="1794">
        <f>'Part I-Project Information'!M168</f>
        <v>0</v>
      </c>
      <c r="N191" s="1794">
        <f>'Part I-Project Information'!N168</f>
        <v>0</v>
      </c>
      <c r="O191" s="1794">
        <f>'Part I-Project Information'!O168</f>
        <v>0</v>
      </c>
      <c r="P191" s="1794">
        <f>'Part I-Project Information'!P168</f>
        <v>0</v>
      </c>
    </row>
    <row r="192" spans="1:16" ht="13.8">
      <c r="A192" s="1779"/>
      <c r="B192" s="1779"/>
      <c r="C192" s="1778" t="s">
        <v>4451</v>
      </c>
      <c r="D192" s="1778"/>
      <c r="E192" s="1838"/>
      <c r="F192" s="1838"/>
      <c r="G192" s="1838"/>
      <c r="H192" s="1779"/>
      <c r="I192" s="1802">
        <f>'Part I-Project Information'!I169</f>
        <v>0</v>
      </c>
      <c r="J192" s="1792" t="s">
        <v>750</v>
      </c>
      <c r="K192" s="1792"/>
      <c r="L192" s="1802">
        <f>'Part I-Project Information'!L169</f>
        <v>0</v>
      </c>
      <c r="M192" s="1838"/>
      <c r="N192" s="1779"/>
      <c r="O192" s="1838"/>
      <c r="P192" s="1838"/>
    </row>
    <row r="193" spans="1:16" ht="13.8">
      <c r="A193" s="1779"/>
      <c r="B193" s="1779"/>
      <c r="C193" s="1778"/>
      <c r="D193" s="1778"/>
      <c r="E193" s="1778"/>
      <c r="F193" s="1778"/>
      <c r="G193" s="1778"/>
      <c r="H193" s="1778"/>
      <c r="I193" s="1778"/>
      <c r="J193" s="1778"/>
      <c r="K193" s="1778"/>
      <c r="L193" s="1778"/>
      <c r="M193" s="1778"/>
      <c r="N193" s="1778"/>
      <c r="O193" s="1778"/>
      <c r="P193" s="1778"/>
    </row>
    <row r="194" spans="1:16" ht="13.8">
      <c r="A194" s="1779"/>
      <c r="B194" s="1779" t="s">
        <v>1959</v>
      </c>
      <c r="C194" s="1781" t="s">
        <v>2664</v>
      </c>
      <c r="D194" s="1781"/>
      <c r="E194" s="1781"/>
      <c r="F194" s="1781"/>
      <c r="G194" s="1781"/>
      <c r="H194" s="1778"/>
      <c r="I194" s="1779" t="str">
        <f>'Part I-Project Information'!I171</f>
        <v>No</v>
      </c>
      <c r="J194" s="1778" t="s">
        <v>750</v>
      </c>
      <c r="K194" s="1778"/>
      <c r="L194" s="1779">
        <f>'Part I-Project Information'!L171</f>
        <v>0</v>
      </c>
      <c r="M194" s="1778" t="s">
        <v>2297</v>
      </c>
      <c r="N194" s="1778"/>
      <c r="O194" s="1778"/>
      <c r="P194" s="1839">
        <f>'Part I-Project Information'!P171</f>
        <v>0</v>
      </c>
    </row>
    <row r="195" spans="1:16" ht="13.8">
      <c r="A195" s="1779"/>
      <c r="B195" s="1779"/>
      <c r="C195" s="1781" t="s">
        <v>2665</v>
      </c>
      <c r="D195" s="1781"/>
      <c r="E195" s="1781"/>
      <c r="F195" s="1781"/>
      <c r="G195" s="1781"/>
      <c r="H195" s="1778"/>
      <c r="I195" s="1779" t="str">
        <f>'Part I-Project Information'!I172</f>
        <v>Yes</v>
      </c>
      <c r="J195" s="1778" t="s">
        <v>750</v>
      </c>
      <c r="K195" s="1778"/>
      <c r="L195" s="1779">
        <f>'Part I-Project Information'!L172</f>
        <v>2051</v>
      </c>
      <c r="M195" s="1778" t="s">
        <v>2297</v>
      </c>
      <c r="N195" s="1778"/>
      <c r="O195" s="1778"/>
      <c r="P195" s="1839">
        <f>'Part I-Project Information'!P172</f>
        <v>15</v>
      </c>
    </row>
    <row r="196" spans="1:16" ht="13.8">
      <c r="A196" s="1779"/>
      <c r="B196" s="1779"/>
      <c r="C196" s="1781"/>
      <c r="D196" s="1781"/>
      <c r="E196" s="1778"/>
      <c r="F196" s="1781"/>
      <c r="G196" s="1781"/>
      <c r="H196" s="1778"/>
      <c r="I196" s="1778"/>
      <c r="J196" s="1778"/>
      <c r="K196" s="1779"/>
      <c r="L196" s="1778"/>
      <c r="M196" s="1778"/>
      <c r="N196" s="1778"/>
      <c r="O196" s="1779"/>
      <c r="P196" s="1799"/>
    </row>
    <row r="197" spans="1:16" ht="13.8">
      <c r="A197" s="1779"/>
      <c r="B197" s="1779" t="s">
        <v>738</v>
      </c>
      <c r="C197" s="1781" t="s">
        <v>1735</v>
      </c>
      <c r="D197" s="1781"/>
      <c r="E197" s="1781"/>
      <c r="F197" s="1781"/>
      <c r="G197" s="1781"/>
      <c r="H197" s="1778"/>
      <c r="I197" s="1779" t="str">
        <f>'Part I-Project Information'!I174</f>
        <v>No</v>
      </c>
      <c r="J197" s="1778"/>
      <c r="K197" s="1778"/>
      <c r="L197" s="1778"/>
      <c r="M197" s="1778"/>
      <c r="N197" s="1778"/>
      <c r="O197" s="1778"/>
      <c r="P197" s="1799"/>
    </row>
    <row r="198" spans="1:16" ht="13.8">
      <c r="A198" s="1779"/>
      <c r="B198" s="1779"/>
      <c r="C198" s="1781"/>
      <c r="D198" s="1778"/>
      <c r="E198" s="1838"/>
      <c r="F198" s="1838"/>
      <c r="G198" s="1838"/>
      <c r="H198" s="1778"/>
      <c r="I198" s="1838"/>
      <c r="J198" s="1838"/>
      <c r="K198" s="1779"/>
      <c r="L198" s="1838"/>
      <c r="M198" s="1838"/>
      <c r="N198" s="1779"/>
      <c r="O198" s="1838"/>
      <c r="P198" s="1838"/>
    </row>
    <row r="199" spans="1:16" ht="13.8">
      <c r="A199" s="1779"/>
      <c r="B199" s="1779" t="s">
        <v>2088</v>
      </c>
      <c r="C199" s="1778" t="s">
        <v>1952</v>
      </c>
      <c r="D199" s="1778"/>
      <c r="E199" s="1778"/>
      <c r="F199" s="1778"/>
      <c r="G199" s="1781"/>
      <c r="H199" s="1778"/>
      <c r="I199" s="1779" t="str">
        <f>'Part I-Project Information'!I176</f>
        <v>No</v>
      </c>
      <c r="J199" s="1840" t="s">
        <v>2709</v>
      </c>
      <c r="K199" s="1778"/>
      <c r="L199" s="1778" t="s">
        <v>5025</v>
      </c>
      <c r="M199" s="1778"/>
      <c r="N199" s="1781"/>
      <c r="O199" s="1781"/>
      <c r="P199" s="1823">
        <f>'Part I-Project Information'!P176</f>
        <v>0</v>
      </c>
    </row>
    <row r="200" spans="1:16" ht="13.8">
      <c r="A200" s="1778"/>
      <c r="B200" s="1779"/>
      <c r="C200" s="1778"/>
      <c r="D200" s="1778"/>
      <c r="E200" s="1778"/>
      <c r="F200" s="1778"/>
      <c r="G200" s="1778"/>
      <c r="H200" s="1778"/>
      <c r="I200" s="1778"/>
      <c r="J200" s="1778"/>
      <c r="K200" s="1778"/>
      <c r="L200" s="1778" t="s">
        <v>785</v>
      </c>
      <c r="M200" s="1778"/>
      <c r="N200" s="1796"/>
      <c r="O200" s="1796"/>
      <c r="P200" s="1823">
        <f>'Part I-Project Information'!P177</f>
        <v>0</v>
      </c>
    </row>
    <row r="201" spans="1:16" ht="13.8">
      <c r="A201" s="1779"/>
      <c r="B201" s="1779"/>
      <c r="C201" s="1778"/>
      <c r="D201" s="1778"/>
      <c r="E201" s="1778"/>
      <c r="F201" s="1778"/>
      <c r="G201" s="1778"/>
      <c r="H201" s="1778"/>
      <c r="I201" s="1778"/>
      <c r="J201" s="1778"/>
      <c r="K201" s="1778"/>
      <c r="L201" s="1778" t="s">
        <v>1769</v>
      </c>
      <c r="M201" s="1778"/>
      <c r="N201" s="1796"/>
      <c r="O201" s="1796"/>
      <c r="P201" s="1841" t="e">
        <f>IF(P199="","",P200/P199)</f>
        <v>#DIV/0!</v>
      </c>
    </row>
    <row r="202" spans="1:16" ht="13.8">
      <c r="A202" s="1779"/>
      <c r="B202" s="1779" t="s">
        <v>1714</v>
      </c>
      <c r="C202" s="1781" t="s">
        <v>1590</v>
      </c>
      <c r="D202" s="1796"/>
      <c r="E202" s="1796"/>
      <c r="F202" s="1796"/>
      <c r="G202" s="1796"/>
      <c r="H202" s="1779"/>
      <c r="I202" s="1778"/>
      <c r="J202" s="1787"/>
      <c r="K202" s="1802"/>
      <c r="L202" s="1778"/>
      <c r="M202" s="1778"/>
      <c r="N202" s="1778"/>
      <c r="O202" s="1779"/>
      <c r="P202" s="1799"/>
    </row>
    <row r="203" spans="1:16" ht="13.8">
      <c r="A203" s="1779"/>
      <c r="B203" s="1779"/>
      <c r="C203" s="1778" t="s">
        <v>2184</v>
      </c>
      <c r="D203" s="1778"/>
      <c r="E203" s="1778"/>
      <c r="F203" s="1778"/>
      <c r="G203" s="1778"/>
      <c r="H203" s="1778"/>
      <c r="I203" s="1802" t="str">
        <f>'Part I-Project Information'!I180</f>
        <v>No</v>
      </c>
      <c r="J203" s="1778"/>
      <c r="K203" s="1778"/>
      <c r="L203" s="1778" t="s">
        <v>1591</v>
      </c>
      <c r="M203" s="1778"/>
      <c r="N203" s="1778"/>
      <c r="O203" s="1778"/>
      <c r="P203" s="1802" t="str">
        <f>'Part I-Project Information'!P180</f>
        <v>Yes</v>
      </c>
    </row>
    <row r="204" spans="1:16" ht="13.8">
      <c r="A204" s="1779"/>
      <c r="B204" s="1779"/>
      <c r="C204" s="1778" t="s">
        <v>2185</v>
      </c>
      <c r="D204" s="1778"/>
      <c r="E204" s="1778"/>
      <c r="F204" s="1778"/>
      <c r="G204" s="1778"/>
      <c r="H204" s="1778"/>
      <c r="I204" s="1802" t="str">
        <f>'Part I-Project Information'!I181</f>
        <v>No</v>
      </c>
      <c r="J204" s="1778"/>
      <c r="K204" s="1778"/>
      <c r="L204" s="1778" t="s">
        <v>2791</v>
      </c>
      <c r="M204" s="1778"/>
      <c r="N204" s="1778"/>
      <c r="O204" s="1778"/>
      <c r="P204" s="1802" t="str">
        <f>'Part I-Project Information'!P181</f>
        <v>No</v>
      </c>
    </row>
    <row r="205" spans="1:16" ht="13.8">
      <c r="A205" s="1779"/>
      <c r="B205" s="1778"/>
      <c r="C205" s="1778" t="s">
        <v>2682</v>
      </c>
      <c r="D205" s="1778"/>
      <c r="E205" s="1778"/>
      <c r="F205" s="1778"/>
      <c r="G205" s="1778"/>
      <c r="H205" s="1778"/>
      <c r="I205" s="1802" t="str">
        <f>'Part I-Project Information'!I182</f>
        <v>No</v>
      </c>
      <c r="J205" s="1778"/>
      <c r="K205" s="1778"/>
      <c r="L205" s="1778" t="s">
        <v>2653</v>
      </c>
      <c r="M205" s="1778"/>
      <c r="N205" s="1842">
        <f>'Part I-Project Information'!N182</f>
        <v>0</v>
      </c>
      <c r="O205" s="1842">
        <f>'Part I-Project Information'!O182</f>
        <v>0</v>
      </c>
      <c r="P205" s="1802" t="str">
        <f>'Part I-Project Information'!P182</f>
        <v>No</v>
      </c>
    </row>
    <row r="206" spans="1:16" ht="13.8">
      <c r="A206" s="1779"/>
      <c r="B206" s="1779"/>
      <c r="C206" s="1778" t="s">
        <v>1270</v>
      </c>
      <c r="D206" s="1790"/>
      <c r="E206" s="1778"/>
      <c r="F206" s="1778"/>
      <c r="G206" s="1778"/>
      <c r="H206" s="1778"/>
      <c r="I206" s="1802" t="str">
        <f>'Part I-Project Information'!I183</f>
        <v>No</v>
      </c>
      <c r="J206" s="1778"/>
      <c r="K206" s="1778"/>
      <c r="L206" s="1778" t="s">
        <v>3415</v>
      </c>
      <c r="M206" s="1778"/>
      <c r="N206" s="1778"/>
      <c r="O206" s="1778"/>
      <c r="P206" s="1802" t="str">
        <f>'Part I-Project Information'!P183</f>
        <v>No</v>
      </c>
    </row>
    <row r="207" spans="1:16" ht="13.8">
      <c r="A207" s="1779"/>
      <c r="B207" s="1778"/>
      <c r="C207" s="1778" t="s">
        <v>1783</v>
      </c>
      <c r="D207" s="1778"/>
      <c r="E207" s="1778"/>
      <c r="F207" s="1778"/>
      <c r="G207" s="1778"/>
      <c r="H207" s="1778"/>
      <c r="I207" s="1802" t="str">
        <f>'Part I-Project Information'!I184</f>
        <v>No</v>
      </c>
      <c r="J207" s="1840" t="s">
        <v>2710</v>
      </c>
      <c r="K207" s="1778"/>
      <c r="L207" s="1778"/>
      <c r="M207" s="1778"/>
      <c r="N207" s="1778"/>
      <c r="O207" s="1843">
        <f>'Part I-Project Information'!O184</f>
        <v>0</v>
      </c>
      <c r="P207" s="1843">
        <f>'Part I-Project Information'!P184</f>
        <v>0</v>
      </c>
    </row>
    <row r="208" spans="1:16" ht="13.8">
      <c r="A208" s="1779"/>
      <c r="B208" s="1779"/>
      <c r="C208" s="1778" t="s">
        <v>2846</v>
      </c>
      <c r="D208" s="1778"/>
      <c r="E208" s="1778"/>
      <c r="F208" s="1778"/>
      <c r="G208" s="1778"/>
      <c r="H208" s="1778"/>
      <c r="I208" s="1802" t="str">
        <f>'Part I-Project Information'!I185</f>
        <v>No</v>
      </c>
      <c r="J208" s="1840" t="s">
        <v>2710</v>
      </c>
      <c r="K208" s="1778"/>
      <c r="L208" s="1778"/>
      <c r="M208" s="1778"/>
      <c r="N208" s="1778"/>
      <c r="O208" s="1843">
        <f>'Part I-Project Information'!O185</f>
        <v>0</v>
      </c>
      <c r="P208" s="1843">
        <f>'Part I-Project Information'!P185</f>
        <v>0</v>
      </c>
    </row>
    <row r="209" spans="1:19" ht="13.8">
      <c r="A209" s="1779"/>
      <c r="B209" s="1779"/>
      <c r="C209" s="1778"/>
      <c r="D209" s="1778"/>
      <c r="E209" s="1778"/>
      <c r="F209" s="1778"/>
      <c r="G209" s="1778"/>
      <c r="H209" s="1778"/>
      <c r="I209" s="1778"/>
      <c r="J209" s="1778"/>
      <c r="K209" s="1778"/>
      <c r="L209" s="1778"/>
      <c r="M209" s="1778"/>
      <c r="N209" s="1778"/>
      <c r="O209" s="1778"/>
      <c r="P209" s="1787"/>
    </row>
    <row r="210" spans="1:19" ht="13.8">
      <c r="A210" s="1778"/>
      <c r="B210" s="1779" t="s">
        <v>1715</v>
      </c>
      <c r="C210" s="1781" t="s">
        <v>728</v>
      </c>
      <c r="D210" s="1778"/>
      <c r="E210" s="1778"/>
      <c r="F210" s="1778"/>
      <c r="G210" s="1778"/>
      <c r="H210" s="1778"/>
      <c r="I210" s="1778"/>
      <c r="J210" s="1778"/>
      <c r="K210" s="1778"/>
      <c r="L210" s="1778"/>
      <c r="M210" s="1778"/>
      <c r="N210" s="1778"/>
      <c r="O210" s="1778"/>
      <c r="P210" s="1778"/>
    </row>
    <row r="211" spans="1:19" ht="13.8">
      <c r="A211" s="1779"/>
      <c r="B211" s="1779"/>
      <c r="C211" s="1781" t="s">
        <v>628</v>
      </c>
      <c r="D211" s="1796"/>
      <c r="E211" s="1796"/>
      <c r="F211" s="1779"/>
      <c r="G211" s="1779"/>
      <c r="H211" s="1829">
        <f>'Part I-Project Information'!H188</f>
        <v>0</v>
      </c>
      <c r="I211" s="1829">
        <f>'Part I-Project Information'!I188</f>
        <v>0</v>
      </c>
      <c r="J211" s="1778"/>
      <c r="K211" s="1778"/>
      <c r="L211" s="1778"/>
      <c r="M211" s="1778"/>
      <c r="N211" s="1778"/>
      <c r="O211" s="1778"/>
      <c r="P211" s="1799"/>
    </row>
    <row r="212" spans="1:19" ht="13.8">
      <c r="A212" s="1779"/>
      <c r="B212" s="1779"/>
      <c r="C212" s="1781" t="s">
        <v>273</v>
      </c>
      <c r="D212" s="1796"/>
      <c r="E212" s="1796"/>
      <c r="F212" s="1779"/>
      <c r="G212" s="1779"/>
      <c r="H212" s="1829">
        <f>'Part I-Project Information'!H189</f>
        <v>0</v>
      </c>
      <c r="I212" s="1829">
        <f>'Part I-Project Information'!I189</f>
        <v>0</v>
      </c>
      <c r="J212" s="1778"/>
      <c r="K212" s="1778"/>
      <c r="L212" s="1778"/>
      <c r="M212" s="1778"/>
      <c r="N212" s="1778"/>
      <c r="O212" s="1778"/>
      <c r="P212" s="1799"/>
    </row>
    <row r="213" spans="1:19" ht="13.8">
      <c r="A213" s="1779"/>
      <c r="B213" s="1779"/>
      <c r="C213" s="1781" t="s">
        <v>2266</v>
      </c>
      <c r="D213" s="1796"/>
      <c r="E213" s="1796"/>
      <c r="F213" s="1779"/>
      <c r="G213" s="1779"/>
      <c r="H213" s="1829">
        <f>'Part I-Project Information'!H190</f>
        <v>44438</v>
      </c>
      <c r="I213" s="1829">
        <f>'Part I-Project Information'!I190</f>
        <v>0</v>
      </c>
      <c r="J213" s="1778"/>
      <c r="K213" s="1778"/>
      <c r="L213" s="1778"/>
      <c r="M213" s="1778"/>
      <c r="N213" s="1778"/>
      <c r="O213" s="1778"/>
      <c r="P213" s="1799"/>
    </row>
    <row r="214" spans="1:19" ht="13.8">
      <c r="A214" s="1778"/>
      <c r="B214" s="1778"/>
      <c r="C214" s="1778"/>
      <c r="D214" s="1778"/>
      <c r="E214" s="1778"/>
      <c r="F214" s="1778"/>
      <c r="G214" s="1778"/>
      <c r="H214" s="1778"/>
      <c r="I214" s="1778"/>
      <c r="J214" s="1778"/>
      <c r="K214" s="1778"/>
      <c r="L214" s="1787"/>
      <c r="M214" s="1787"/>
      <c r="N214" s="1787"/>
      <c r="O214" s="1787"/>
      <c r="P214" s="1783"/>
    </row>
    <row r="215" spans="1:19" ht="13.8">
      <c r="A215" s="1787" t="s">
        <v>2736</v>
      </c>
      <c r="B215" s="1792"/>
      <c r="C215" s="1787" t="s">
        <v>562</v>
      </c>
      <c r="D215" s="1787"/>
      <c r="E215" s="1787"/>
      <c r="F215" s="1787"/>
      <c r="G215" s="1787"/>
      <c r="H215" s="1787"/>
      <c r="I215" s="1787"/>
      <c r="J215" s="1787"/>
      <c r="K215" s="1787"/>
      <c r="L215" s="1787"/>
      <c r="M215" s="1787" t="s">
        <v>2223</v>
      </c>
      <c r="N215" s="1787" t="s">
        <v>77</v>
      </c>
      <c r="O215" s="1787"/>
      <c r="P215" s="1787"/>
    </row>
    <row r="216" spans="1:19" ht="12.75" customHeight="1">
      <c r="A216" s="1844" t="str">
        <f>'Part I-Project Information'!A193</f>
        <v xml:space="preserve">In 2015 Charis Community Housing, Inc merged with FCS Urban Ministries (FCS). Merger documentation has been included in Tab 43 - Other.  There may be references to Charis Community Housing, Inc which is essentially synonomous with FCS. 
The site will comprise five 3-story buildings (4 residential and 1 Community Building).  The unit mix will consist of 1, 2, and 3 bedroom units with income targets of 50% and 60% AMI or below and market rate units. </v>
      </c>
      <c r="B216" s="1844">
        <f>'Part I-Project Information'!B193</f>
        <v>0</v>
      </c>
      <c r="C216" s="1844">
        <f>'Part I-Project Information'!C193</f>
        <v>0</v>
      </c>
      <c r="D216" s="1844">
        <f>'Part I-Project Information'!D193</f>
        <v>0</v>
      </c>
      <c r="E216" s="1844">
        <f>'Part I-Project Information'!E193</f>
        <v>0</v>
      </c>
      <c r="F216" s="1844">
        <f>'Part I-Project Information'!F193</f>
        <v>0</v>
      </c>
      <c r="G216" s="1844">
        <f>'Part I-Project Information'!G193</f>
        <v>0</v>
      </c>
      <c r="H216" s="1844">
        <f>'Part I-Project Information'!H193</f>
        <v>0</v>
      </c>
      <c r="I216" s="1844">
        <f>'Part I-Project Information'!I193</f>
        <v>0</v>
      </c>
      <c r="J216" s="1844">
        <f>'Part I-Project Information'!J193</f>
        <v>0</v>
      </c>
      <c r="K216" s="1844">
        <f>'Part I-Project Information'!K193</f>
        <v>0</v>
      </c>
      <c r="L216" s="1844">
        <f>'Part I-Project Information'!L193</f>
        <v>0</v>
      </c>
      <c r="M216" s="1844">
        <f>'Part I-Project Information'!M193</f>
        <v>0</v>
      </c>
      <c r="N216" s="1844">
        <f>'Part I-Project Information'!N193</f>
        <v>0</v>
      </c>
      <c r="O216" s="1844">
        <f>'Part I-Project Information'!O193</f>
        <v>0</v>
      </c>
      <c r="P216" s="1844">
        <f>'Part I-Project Information'!P193</f>
        <v>0</v>
      </c>
    </row>
    <row r="219" spans="1:19" ht="13.8">
      <c r="A219" s="1778" t="str">
        <f>CONCATENATE("PART TWO - DEVELOPMENT TEAM INFORMATION","  -  ",'Part I-Project Information'!$O$6," ",'Part I-Project Information'!$F$34,", ",'Part I-Project Information'!F256,", ",'Part I-Project Information'!J257," County")</f>
        <v>PART TWO - DEVELOPMENT TEAM INFORMATION  -  2019-063 Haven at South Atlanta, ,  County</v>
      </c>
      <c r="B219" s="1778"/>
      <c r="C219" s="1778"/>
      <c r="D219" s="1778"/>
      <c r="E219" s="1778"/>
      <c r="F219" s="1778"/>
      <c r="G219" s="1778"/>
      <c r="H219" s="1778"/>
      <c r="I219" s="1778"/>
      <c r="J219" s="1778"/>
      <c r="K219" s="1778"/>
      <c r="L219" s="1778"/>
      <c r="M219" s="1778"/>
      <c r="N219" s="1778"/>
      <c r="O219" s="1778"/>
      <c r="P219" s="1778"/>
      <c r="Q219" s="1778"/>
      <c r="R219" s="1778"/>
      <c r="S219" s="1778"/>
    </row>
    <row r="220" spans="1:19" ht="13.8">
      <c r="A220" s="1781" t="s">
        <v>4248</v>
      </c>
      <c r="B220" s="1787"/>
      <c r="C220" s="1787"/>
      <c r="D220" s="1787"/>
      <c r="E220" s="1787"/>
      <c r="F220" s="1787"/>
      <c r="G220" s="1787"/>
      <c r="H220" s="1787"/>
      <c r="I220" s="1787"/>
      <c r="J220" s="1787"/>
      <c r="K220" s="1787"/>
      <c r="L220" s="1787"/>
      <c r="M220" s="1787"/>
      <c r="N220" s="1787"/>
      <c r="O220" s="1787"/>
      <c r="P220" s="1787"/>
      <c r="Q220" s="1787"/>
      <c r="R220" s="1787"/>
      <c r="S220" s="1787"/>
    </row>
    <row r="221" spans="1:19" ht="13.8">
      <c r="A221" s="1778" t="s">
        <v>605</v>
      </c>
      <c r="B221" s="1781" t="s">
        <v>1833</v>
      </c>
      <c r="C221" s="1781"/>
      <c r="D221" s="1778"/>
      <c r="E221" s="1781"/>
      <c r="F221" s="1781"/>
      <c r="G221" s="1781"/>
      <c r="H221" s="1782" t="s">
        <v>4046</v>
      </c>
      <c r="I221" s="1778"/>
      <c r="J221" s="1778"/>
      <c r="K221" s="1778"/>
      <c r="L221" s="1778"/>
      <c r="M221" s="1778"/>
      <c r="N221" s="1778"/>
      <c r="O221" s="1804" t="str">
        <f>'Part I-Project Information'!$B$6</f>
        <v>May 2019</v>
      </c>
      <c r="P221" s="1804"/>
      <c r="Q221" s="1804"/>
      <c r="R221" s="1804"/>
      <c r="S221" s="1804"/>
    </row>
    <row r="222" spans="1:19" ht="13.8">
      <c r="A222" s="1778"/>
      <c r="B222" s="1778"/>
      <c r="C222" s="1778"/>
      <c r="D222" s="1781"/>
      <c r="E222" s="1781"/>
      <c r="F222" s="1781"/>
      <c r="G222" s="1781"/>
      <c r="H222" s="1781"/>
      <c r="I222" s="1781"/>
      <c r="J222" s="1781"/>
      <c r="K222" s="1778"/>
      <c r="L222" s="1778"/>
      <c r="M222" s="1778"/>
      <c r="N222" s="1778"/>
      <c r="O222" s="1778"/>
      <c r="P222" s="1778"/>
      <c r="Q222" s="1778"/>
      <c r="R222" s="1778"/>
      <c r="S222" s="1778"/>
    </row>
    <row r="223" spans="1:19" ht="13.8">
      <c r="A223" s="1778"/>
      <c r="B223" s="1778" t="s">
        <v>1957</v>
      </c>
      <c r="C223" s="1781" t="s">
        <v>1829</v>
      </c>
      <c r="D223" s="1778"/>
      <c r="E223" s="1778"/>
      <c r="F223" s="1778"/>
      <c r="G223" s="1778"/>
      <c r="H223" s="1778" t="str">
        <f>'Part II-Development Team'!H5</f>
        <v>Haven SA LLC</v>
      </c>
      <c r="I223" s="1792"/>
      <c r="J223" s="1792"/>
      <c r="K223" s="1792"/>
      <c r="L223" s="1792"/>
      <c r="M223" s="1792"/>
      <c r="N223" s="1792"/>
      <c r="O223" s="1781" t="s">
        <v>1963</v>
      </c>
      <c r="P223" s="1781"/>
      <c r="Q223" s="1778" t="str">
        <f>'Part II-Development Team'!Q5</f>
        <v>Mark H. Dambly</v>
      </c>
      <c r="R223" s="1792"/>
      <c r="S223" s="1792"/>
    </row>
    <row r="224" spans="1:19" ht="13.8">
      <c r="A224" s="1778"/>
      <c r="B224" s="1778"/>
      <c r="C224" s="1778"/>
      <c r="D224" s="1806"/>
      <c r="E224" s="1781" t="s">
        <v>1008</v>
      </c>
      <c r="F224" s="1783"/>
      <c r="G224" s="1778"/>
      <c r="H224" s="1778" t="str">
        <f>'Part II-Development Team'!H6</f>
        <v>230 Wyoming Avenue</v>
      </c>
      <c r="I224" s="1792"/>
      <c r="J224" s="1792"/>
      <c r="K224" s="1792"/>
      <c r="L224" s="1792"/>
      <c r="M224" s="1792"/>
      <c r="N224" s="1792"/>
      <c r="O224" s="1781" t="s">
        <v>1726</v>
      </c>
      <c r="P224" s="1778"/>
      <c r="Q224" s="1778" t="str">
        <f>'Part II-Development Team'!Q6</f>
        <v>President, Managing Mbr</v>
      </c>
      <c r="R224" s="1792"/>
      <c r="S224" s="1792"/>
    </row>
    <row r="225" spans="1:19" ht="13.8">
      <c r="A225" s="1778"/>
      <c r="B225" s="1778"/>
      <c r="C225" s="1778"/>
      <c r="D225" s="1806"/>
      <c r="E225" s="1781" t="s">
        <v>607</v>
      </c>
      <c r="F225" s="1778"/>
      <c r="G225" s="1778"/>
      <c r="H225" s="1778" t="str">
        <f>'Part II-Development Team'!H7</f>
        <v>Kingston</v>
      </c>
      <c r="I225" s="1792"/>
      <c r="J225" s="1792"/>
      <c r="K225" s="1779" t="s">
        <v>751</v>
      </c>
      <c r="L225" s="1778">
        <f>'Part II-Development Team'!L7</f>
        <v>0</v>
      </c>
      <c r="M225" s="1792"/>
      <c r="N225" s="1792"/>
      <c r="O225" s="1781" t="s">
        <v>1700</v>
      </c>
      <c r="P225" s="1778"/>
      <c r="Q225" s="1778">
        <f>'Part II-Development Team'!Q7</f>
        <v>2673868668</v>
      </c>
      <c r="R225" s="1792"/>
      <c r="S225" s="1792"/>
    </row>
    <row r="226" spans="1:19" ht="13.8">
      <c r="A226" s="1778"/>
      <c r="B226" s="1778"/>
      <c r="C226" s="1778"/>
      <c r="D226" s="1806"/>
      <c r="E226" s="1781" t="s">
        <v>1776</v>
      </c>
      <c r="F226" s="1778"/>
      <c r="G226" s="1778"/>
      <c r="H226" s="1781" t="str">
        <f>'Part II-Development Team'!H8</f>
        <v>PA</v>
      </c>
      <c r="I226" s="1779" t="s">
        <v>2201</v>
      </c>
      <c r="J226" s="1797">
        <f>'Part II-Development Team'!J8</f>
        <v>187043535</v>
      </c>
      <c r="K226" s="1792"/>
      <c r="L226" s="1778" t="s">
        <v>3586</v>
      </c>
      <c r="M226" s="1778" t="str">
        <f>'Part II-Development Team'!M8</f>
        <v>For Profit</v>
      </c>
      <c r="N226" s="1778"/>
      <c r="O226" s="1781" t="s">
        <v>1953</v>
      </c>
      <c r="P226" s="1778"/>
      <c r="Q226" s="1778">
        <f>'Part II-Development Team'!Q8</f>
        <v>0</v>
      </c>
      <c r="R226" s="1792"/>
      <c r="S226" s="1792"/>
    </row>
    <row r="227" spans="1:19" ht="13.8">
      <c r="A227" s="1778"/>
      <c r="B227" s="1778"/>
      <c r="C227" s="1778"/>
      <c r="D227" s="1806"/>
      <c r="E227" s="1781" t="s">
        <v>4047</v>
      </c>
      <c r="F227" s="1778"/>
      <c r="G227" s="1778"/>
      <c r="H227" s="1798">
        <f>'Part II-Development Team'!H9</f>
        <v>2673868600</v>
      </c>
      <c r="I227" s="1798"/>
      <c r="J227" s="1802">
        <f>'Part II-Development Team'!J9</f>
        <v>0</v>
      </c>
      <c r="K227" s="1779" t="s">
        <v>1958</v>
      </c>
      <c r="L227" s="1794" t="str">
        <f>'Part II-Development Team'!L9</f>
        <v xml:space="preserve">mdambly@pennrose.com </v>
      </c>
      <c r="M227" s="1794"/>
      <c r="N227" s="1794"/>
      <c r="O227" s="1794"/>
      <c r="P227" s="1794"/>
      <c r="Q227" s="1794"/>
      <c r="R227" s="1794"/>
      <c r="S227" s="1794"/>
    </row>
    <row r="228" spans="1:19" ht="13.8">
      <c r="A228" s="1778"/>
      <c r="B228" s="1778"/>
      <c r="C228" s="1778"/>
      <c r="D228" s="1806"/>
      <c r="E228" s="1782" t="s">
        <v>4046</v>
      </c>
      <c r="F228" s="1778"/>
      <c r="G228" s="1778"/>
      <c r="H228" s="1838"/>
      <c r="I228" s="1778"/>
      <c r="J228" s="1778"/>
      <c r="K228" s="1790"/>
      <c r="L228" s="1778"/>
      <c r="M228" s="1778"/>
      <c r="N228" s="1778" t="s">
        <v>4270</v>
      </c>
      <c r="O228" s="1778"/>
      <c r="P228" s="1778"/>
      <c r="Q228" s="1779"/>
      <c r="R228" s="1778"/>
      <c r="S228" s="1778"/>
    </row>
    <row r="229" spans="1:19" ht="13.8">
      <c r="A229" s="1778"/>
      <c r="B229" s="1778"/>
      <c r="C229" s="1778"/>
      <c r="D229" s="1824"/>
      <c r="E229" s="1781"/>
      <c r="F229" s="1781"/>
      <c r="G229" s="1781"/>
      <c r="H229" s="1781"/>
      <c r="I229" s="1781"/>
      <c r="J229" s="1781"/>
      <c r="K229" s="1778"/>
      <c r="L229" s="1778"/>
      <c r="M229" s="1778"/>
      <c r="N229" s="1781"/>
      <c r="O229" s="1781"/>
      <c r="P229" s="1781"/>
      <c r="Q229" s="1781"/>
      <c r="R229" s="1781"/>
      <c r="S229" s="1781"/>
    </row>
    <row r="230" spans="1:19" ht="13.8">
      <c r="A230" s="1778"/>
      <c r="B230" s="1792" t="s">
        <v>1959</v>
      </c>
      <c r="C230" s="1781" t="s">
        <v>1830</v>
      </c>
      <c r="D230" s="1778"/>
      <c r="E230" s="1778"/>
      <c r="F230" s="1781"/>
      <c r="G230" s="1781"/>
      <c r="H230" s="1781"/>
      <c r="I230" s="1781"/>
      <c r="J230" s="1778"/>
      <c r="K230" s="1778"/>
      <c r="L230" s="1778"/>
      <c r="M230" s="1778"/>
      <c r="N230" s="1845" t="s">
        <v>1269</v>
      </c>
      <c r="O230" s="1778"/>
      <c r="P230" s="1778"/>
      <c r="Q230" s="1778"/>
      <c r="R230" s="1778"/>
      <c r="S230" s="1778"/>
    </row>
    <row r="231" spans="1:19" ht="13.8">
      <c r="A231" s="1778"/>
      <c r="B231" s="1778"/>
      <c r="C231" s="1846" t="s">
        <v>1960</v>
      </c>
      <c r="D231" s="1792" t="s">
        <v>1961</v>
      </c>
      <c r="E231" s="1778"/>
      <c r="F231" s="1778"/>
      <c r="G231" s="1778"/>
      <c r="H231" s="1778"/>
      <c r="I231" s="1778"/>
      <c r="J231" s="1778"/>
      <c r="K231" s="1778"/>
      <c r="L231" s="1778"/>
      <c r="M231" s="1778"/>
      <c r="N231" s="1790"/>
      <c r="O231" s="1778"/>
      <c r="P231" s="1778"/>
      <c r="Q231" s="1778"/>
      <c r="R231" s="1778"/>
      <c r="S231" s="1778"/>
    </row>
    <row r="232" spans="1:19" ht="13.8">
      <c r="A232" s="1778"/>
      <c r="B232" s="1778"/>
      <c r="C232" s="1778"/>
      <c r="D232" s="1778" t="s">
        <v>2089</v>
      </c>
      <c r="E232" s="1778" t="s">
        <v>1831</v>
      </c>
      <c r="F232" s="1778"/>
      <c r="G232" s="1778"/>
      <c r="H232" s="1778" t="str">
        <f>'Part II-Development Team'!H14</f>
        <v>Haven SA MM LLC</v>
      </c>
      <c r="I232" s="1792"/>
      <c r="J232" s="1792"/>
      <c r="K232" s="1792"/>
      <c r="L232" s="1792"/>
      <c r="M232" s="1792"/>
      <c r="N232" s="1792"/>
      <c r="O232" s="1781" t="s">
        <v>1963</v>
      </c>
      <c r="P232" s="1781"/>
      <c r="Q232" s="1778" t="str">
        <f>'Part II-Development Team'!Q14</f>
        <v>Mark H. Dambly</v>
      </c>
      <c r="R232" s="1792"/>
      <c r="S232" s="1792"/>
    </row>
    <row r="233" spans="1:19" ht="13.8">
      <c r="A233" s="1778"/>
      <c r="B233" s="1778"/>
      <c r="C233" s="1778"/>
      <c r="D233" s="1806"/>
      <c r="E233" s="1781" t="s">
        <v>1008</v>
      </c>
      <c r="F233" s="1783"/>
      <c r="G233" s="1778"/>
      <c r="H233" s="1778" t="str">
        <f>'Part II-Development Team'!H15</f>
        <v>230 Wyoming Avenue</v>
      </c>
      <c r="I233" s="1792"/>
      <c r="J233" s="1792"/>
      <c r="K233" s="1792"/>
      <c r="L233" s="1792"/>
      <c r="M233" s="1792"/>
      <c r="N233" s="1792"/>
      <c r="O233" s="1781" t="s">
        <v>1726</v>
      </c>
      <c r="P233" s="1778"/>
      <c r="Q233" s="1778" t="str">
        <f>'Part II-Development Team'!Q15</f>
        <v>President, Managing Mbr</v>
      </c>
      <c r="R233" s="1792"/>
      <c r="S233" s="1792"/>
    </row>
    <row r="234" spans="1:19" ht="13.8">
      <c r="A234" s="1778"/>
      <c r="B234" s="1778"/>
      <c r="C234" s="1778"/>
      <c r="D234" s="1806"/>
      <c r="E234" s="1781" t="s">
        <v>607</v>
      </c>
      <c r="F234" s="1778"/>
      <c r="G234" s="1778"/>
      <c r="H234" s="1778" t="str">
        <f>'Part II-Development Team'!H16</f>
        <v>Kington</v>
      </c>
      <c r="I234" s="1792"/>
      <c r="J234" s="1792"/>
      <c r="K234" s="1779" t="s">
        <v>2666</v>
      </c>
      <c r="L234" s="1778" t="str">
        <f>'Part II-Development Team'!L16</f>
        <v xml:space="preserve">www.pennrose.com </v>
      </c>
      <c r="M234" s="1792"/>
      <c r="N234" s="1792"/>
      <c r="O234" s="1781" t="s">
        <v>1700</v>
      </c>
      <c r="P234" s="1778"/>
      <c r="Q234" s="1798">
        <f>'Part II-Development Team'!Q16</f>
        <v>2673868668</v>
      </c>
      <c r="R234" s="1798"/>
      <c r="S234" s="1798"/>
    </row>
    <row r="235" spans="1:19" ht="13.8">
      <c r="A235" s="1778"/>
      <c r="B235" s="1778"/>
      <c r="C235" s="1778"/>
      <c r="D235" s="1778"/>
      <c r="E235" s="1781" t="s">
        <v>1776</v>
      </c>
      <c r="F235" s="1778"/>
      <c r="G235" s="1778"/>
      <c r="H235" s="1781" t="str">
        <f>'Part II-Development Team'!H17</f>
        <v>PA</v>
      </c>
      <c r="I235" s="1778"/>
      <c r="J235" s="1778"/>
      <c r="K235" s="1779" t="s">
        <v>2201</v>
      </c>
      <c r="L235" s="1797">
        <f>'Part II-Development Team'!L17</f>
        <v>187043535</v>
      </c>
      <c r="M235" s="1792"/>
      <c r="N235" s="1778"/>
      <c r="O235" s="1781" t="s">
        <v>1953</v>
      </c>
      <c r="P235" s="1778"/>
      <c r="Q235" s="1798">
        <f>'Part II-Development Team'!Q17</f>
        <v>0</v>
      </c>
      <c r="R235" s="1798"/>
      <c r="S235" s="1798"/>
    </row>
    <row r="236" spans="1:19" ht="13.8">
      <c r="A236" s="1778"/>
      <c r="B236" s="1778"/>
      <c r="C236" s="1778"/>
      <c r="D236" s="1806"/>
      <c r="E236" s="1781" t="s">
        <v>4047</v>
      </c>
      <c r="F236" s="1778"/>
      <c r="G236" s="1778"/>
      <c r="H236" s="1798">
        <f>'Part II-Development Team'!H18</f>
        <v>2673868600</v>
      </c>
      <c r="I236" s="1798"/>
      <c r="J236" s="1802">
        <f>'Part II-Development Team'!J18</f>
        <v>0</v>
      </c>
      <c r="K236" s="1779" t="s">
        <v>1958</v>
      </c>
      <c r="L236" s="1794" t="str">
        <f>'Part II-Development Team'!L18</f>
        <v>mdambly@pennrose.com</v>
      </c>
      <c r="M236" s="1794"/>
      <c r="N236" s="1794"/>
      <c r="O236" s="1794"/>
      <c r="P236" s="1794"/>
      <c r="Q236" s="1794"/>
      <c r="R236" s="1794"/>
      <c r="S236" s="1794"/>
    </row>
    <row r="237" spans="1:19" ht="13.8">
      <c r="A237" s="1787"/>
      <c r="B237" s="1787"/>
      <c r="C237" s="1787"/>
      <c r="D237" s="1787"/>
      <c r="E237" s="1787"/>
      <c r="F237" s="1787"/>
      <c r="G237" s="1787"/>
      <c r="H237" s="1798"/>
      <c r="I237" s="1798"/>
      <c r="J237" s="1798"/>
      <c r="K237" s="1779"/>
      <c r="L237" s="1798"/>
      <c r="M237" s="1798"/>
      <c r="N237" s="1779"/>
      <c r="O237" s="1798"/>
      <c r="P237" s="1798"/>
      <c r="Q237" s="1779"/>
      <c r="R237" s="1798"/>
      <c r="S237" s="1798"/>
    </row>
    <row r="238" spans="1:19" ht="13.8">
      <c r="A238" s="1778"/>
      <c r="B238" s="1778"/>
      <c r="C238" s="1778"/>
      <c r="D238" s="1778" t="s">
        <v>2090</v>
      </c>
      <c r="E238" s="1778" t="s">
        <v>1832</v>
      </c>
      <c r="F238" s="1778"/>
      <c r="G238" s="1778"/>
      <c r="H238" s="1778">
        <f>'Part II-Development Team'!H20</f>
        <v>0</v>
      </c>
      <c r="I238" s="1792"/>
      <c r="J238" s="1792"/>
      <c r="K238" s="1792"/>
      <c r="L238" s="1792"/>
      <c r="M238" s="1792"/>
      <c r="N238" s="1792"/>
      <c r="O238" s="1781" t="s">
        <v>1963</v>
      </c>
      <c r="P238" s="1781"/>
      <c r="Q238" s="1778">
        <f>'Part II-Development Team'!Q20</f>
        <v>0</v>
      </c>
      <c r="R238" s="1792"/>
      <c r="S238" s="1792"/>
    </row>
    <row r="239" spans="1:19" ht="13.8">
      <c r="A239" s="1778"/>
      <c r="B239" s="1778"/>
      <c r="C239" s="1778"/>
      <c r="D239" s="1806"/>
      <c r="E239" s="1781" t="s">
        <v>1008</v>
      </c>
      <c r="F239" s="1783"/>
      <c r="G239" s="1778"/>
      <c r="H239" s="1778">
        <f>'Part II-Development Team'!H21</f>
        <v>0</v>
      </c>
      <c r="I239" s="1792"/>
      <c r="J239" s="1792"/>
      <c r="K239" s="1792"/>
      <c r="L239" s="1792"/>
      <c r="M239" s="1792"/>
      <c r="N239" s="1792"/>
      <c r="O239" s="1781" t="s">
        <v>1726</v>
      </c>
      <c r="P239" s="1778"/>
      <c r="Q239" s="1778">
        <f>'Part II-Development Team'!Q21</f>
        <v>0</v>
      </c>
      <c r="R239" s="1792"/>
      <c r="S239" s="1792"/>
    </row>
    <row r="240" spans="1:19" ht="13.8">
      <c r="A240" s="1778"/>
      <c r="B240" s="1778"/>
      <c r="C240" s="1778"/>
      <c r="D240" s="1806"/>
      <c r="E240" s="1781" t="s">
        <v>607</v>
      </c>
      <c r="F240" s="1778"/>
      <c r="G240" s="1778"/>
      <c r="H240" s="1778">
        <f>'Part II-Development Team'!H22</f>
        <v>0</v>
      </c>
      <c r="I240" s="1792"/>
      <c r="J240" s="1792"/>
      <c r="K240" s="1779" t="s">
        <v>2666</v>
      </c>
      <c r="L240" s="1778">
        <f>'Part II-Development Team'!L22</f>
        <v>0</v>
      </c>
      <c r="M240" s="1792"/>
      <c r="N240" s="1792"/>
      <c r="O240" s="1781" t="s">
        <v>1700</v>
      </c>
      <c r="P240" s="1778"/>
      <c r="Q240" s="1798">
        <f>'Part II-Development Team'!Q22</f>
        <v>0</v>
      </c>
      <c r="R240" s="1798"/>
      <c r="S240" s="1798"/>
    </row>
    <row r="241" spans="1:19" ht="13.8">
      <c r="A241" s="1778"/>
      <c r="B241" s="1778"/>
      <c r="C241" s="1778"/>
      <c r="D241" s="1778"/>
      <c r="E241" s="1781" t="s">
        <v>1776</v>
      </c>
      <c r="F241" s="1778"/>
      <c r="G241" s="1778"/>
      <c r="H241" s="1781">
        <f>'Part II-Development Team'!H23</f>
        <v>0</v>
      </c>
      <c r="I241" s="1778"/>
      <c r="J241" s="1778"/>
      <c r="K241" s="1779" t="s">
        <v>2201</v>
      </c>
      <c r="L241" s="1797">
        <f>'Part II-Development Team'!L23</f>
        <v>0</v>
      </c>
      <c r="M241" s="1792"/>
      <c r="N241" s="1778"/>
      <c r="O241" s="1781" t="s">
        <v>1953</v>
      </c>
      <c r="P241" s="1778"/>
      <c r="Q241" s="1798">
        <f>'Part II-Development Team'!Q23</f>
        <v>0</v>
      </c>
      <c r="R241" s="1798"/>
      <c r="S241" s="1798"/>
    </row>
    <row r="242" spans="1:19" ht="13.8">
      <c r="A242" s="1778"/>
      <c r="B242" s="1778"/>
      <c r="C242" s="1778"/>
      <c r="D242" s="1806"/>
      <c r="E242" s="1781" t="s">
        <v>4047</v>
      </c>
      <c r="F242" s="1778"/>
      <c r="G242" s="1778"/>
      <c r="H242" s="1798">
        <f>'Part II-Development Team'!H24</f>
        <v>0</v>
      </c>
      <c r="I242" s="1798"/>
      <c r="J242" s="1802">
        <f>'Part II-Development Team'!J24</f>
        <v>0</v>
      </c>
      <c r="K242" s="1779" t="s">
        <v>1958</v>
      </c>
      <c r="L242" s="1794">
        <f>'Part II-Development Team'!L24</f>
        <v>0</v>
      </c>
      <c r="M242" s="1794"/>
      <c r="N242" s="1794"/>
      <c r="O242" s="1794"/>
      <c r="P242" s="1794"/>
      <c r="Q242" s="1794"/>
      <c r="R242" s="1794"/>
      <c r="S242" s="1794"/>
    </row>
    <row r="243" spans="1:19" ht="13.8">
      <c r="A243" s="1778"/>
      <c r="B243" s="1778"/>
      <c r="C243" s="1778"/>
      <c r="D243" s="1806"/>
      <c r="E243" s="1778"/>
      <c r="F243" s="1778"/>
      <c r="G243" s="1781"/>
      <c r="H243" s="1798"/>
      <c r="I243" s="1798"/>
      <c r="J243" s="1798"/>
      <c r="K243" s="1779"/>
      <c r="L243" s="1798"/>
      <c r="M243" s="1798"/>
      <c r="N243" s="1779"/>
      <c r="O243" s="1798"/>
      <c r="P243" s="1798"/>
      <c r="Q243" s="1779"/>
      <c r="R243" s="1798"/>
      <c r="S243" s="1798"/>
    </row>
    <row r="244" spans="1:19" ht="13.8">
      <c r="A244" s="1778"/>
      <c r="B244" s="1778"/>
      <c r="C244" s="1778"/>
      <c r="D244" s="1778" t="s">
        <v>1713</v>
      </c>
      <c r="E244" s="1778" t="s">
        <v>1832</v>
      </c>
      <c r="F244" s="1778"/>
      <c r="G244" s="1778"/>
      <c r="H244" s="1778">
        <f>'Part II-Development Team'!H26</f>
        <v>0</v>
      </c>
      <c r="I244" s="1792"/>
      <c r="J244" s="1792"/>
      <c r="K244" s="1792"/>
      <c r="L244" s="1792"/>
      <c r="M244" s="1792"/>
      <c r="N244" s="1792"/>
      <c r="O244" s="1781" t="s">
        <v>1963</v>
      </c>
      <c r="P244" s="1781"/>
      <c r="Q244" s="1778">
        <f>'Part II-Development Team'!Q26</f>
        <v>0</v>
      </c>
      <c r="R244" s="1792"/>
      <c r="S244" s="1792"/>
    </row>
    <row r="245" spans="1:19" ht="13.8">
      <c r="A245" s="1778"/>
      <c r="B245" s="1778"/>
      <c r="C245" s="1778"/>
      <c r="D245" s="1806"/>
      <c r="E245" s="1781" t="s">
        <v>1008</v>
      </c>
      <c r="F245" s="1783"/>
      <c r="G245" s="1778"/>
      <c r="H245" s="1778">
        <f>'Part II-Development Team'!H27</f>
        <v>0</v>
      </c>
      <c r="I245" s="1792"/>
      <c r="J245" s="1792"/>
      <c r="K245" s="1792"/>
      <c r="L245" s="1792"/>
      <c r="M245" s="1792"/>
      <c r="N245" s="1792"/>
      <c r="O245" s="1781" t="s">
        <v>1726</v>
      </c>
      <c r="P245" s="1778"/>
      <c r="Q245" s="1778">
        <f>'Part II-Development Team'!Q27</f>
        <v>0</v>
      </c>
      <c r="R245" s="1792"/>
      <c r="S245" s="1792"/>
    </row>
    <row r="246" spans="1:19" ht="13.8">
      <c r="A246" s="1778"/>
      <c r="B246" s="1778"/>
      <c r="C246" s="1778"/>
      <c r="D246" s="1806"/>
      <c r="E246" s="1781" t="s">
        <v>607</v>
      </c>
      <c r="F246" s="1778"/>
      <c r="G246" s="1778"/>
      <c r="H246" s="1778">
        <f>'Part II-Development Team'!H28</f>
        <v>0</v>
      </c>
      <c r="I246" s="1792"/>
      <c r="J246" s="1792"/>
      <c r="K246" s="1779" t="s">
        <v>2666</v>
      </c>
      <c r="L246" s="1778">
        <f>'Part II-Development Team'!L28</f>
        <v>0</v>
      </c>
      <c r="M246" s="1792"/>
      <c r="N246" s="1792"/>
      <c r="O246" s="1781" t="s">
        <v>1700</v>
      </c>
      <c r="P246" s="1778"/>
      <c r="Q246" s="1798">
        <f>'Part II-Development Team'!Q28</f>
        <v>0</v>
      </c>
      <c r="R246" s="1798"/>
      <c r="S246" s="1798"/>
    </row>
    <row r="247" spans="1:19" ht="13.8">
      <c r="A247" s="1778"/>
      <c r="B247" s="1778"/>
      <c r="C247" s="1778"/>
      <c r="D247" s="1778"/>
      <c r="E247" s="1781" t="s">
        <v>1776</v>
      </c>
      <c r="F247" s="1778"/>
      <c r="G247" s="1778"/>
      <c r="H247" s="1781">
        <f>'Part II-Development Team'!H29</f>
        <v>0</v>
      </c>
      <c r="I247" s="1778"/>
      <c r="J247" s="1778"/>
      <c r="K247" s="1779" t="s">
        <v>2201</v>
      </c>
      <c r="L247" s="1797">
        <f>'Part II-Development Team'!L29</f>
        <v>0</v>
      </c>
      <c r="M247" s="1792"/>
      <c r="N247" s="1778"/>
      <c r="O247" s="1781" t="s">
        <v>1953</v>
      </c>
      <c r="P247" s="1778"/>
      <c r="Q247" s="1798">
        <f>'Part II-Development Team'!Q29</f>
        <v>0</v>
      </c>
      <c r="R247" s="1798"/>
      <c r="S247" s="1798"/>
    </row>
    <row r="248" spans="1:19" ht="13.8">
      <c r="A248" s="1778"/>
      <c r="B248" s="1778"/>
      <c r="C248" s="1778"/>
      <c r="D248" s="1806"/>
      <c r="E248" s="1781" t="s">
        <v>4047</v>
      </c>
      <c r="F248" s="1778"/>
      <c r="G248" s="1778"/>
      <c r="H248" s="1798">
        <f>'Part II-Development Team'!H30</f>
        <v>0</v>
      </c>
      <c r="I248" s="1798"/>
      <c r="J248" s="1802">
        <f>'Part II-Development Team'!J30</f>
        <v>0</v>
      </c>
      <c r="K248" s="1779" t="s">
        <v>1958</v>
      </c>
      <c r="L248" s="1794">
        <f>'Part II-Development Team'!L30</f>
        <v>0</v>
      </c>
      <c r="M248" s="1794"/>
      <c r="N248" s="1794"/>
      <c r="O248" s="1794"/>
      <c r="P248" s="1794"/>
      <c r="Q248" s="1794"/>
      <c r="R248" s="1794"/>
      <c r="S248" s="1794"/>
    </row>
    <row r="249" spans="1:19" ht="13.8">
      <c r="A249" s="1787"/>
      <c r="B249" s="1787"/>
      <c r="C249" s="1787"/>
      <c r="D249" s="1787"/>
      <c r="E249" s="1787"/>
      <c r="F249" s="1787"/>
      <c r="G249" s="1787"/>
      <c r="H249" s="1787"/>
      <c r="I249" s="1787"/>
      <c r="J249" s="1787"/>
      <c r="K249" s="1787"/>
      <c r="L249" s="1787"/>
      <c r="M249" s="1787"/>
      <c r="N249" s="1787"/>
      <c r="O249" s="1787"/>
      <c r="P249" s="1787"/>
      <c r="Q249" s="1787"/>
      <c r="R249" s="1787"/>
      <c r="S249" s="1787"/>
    </row>
    <row r="250" spans="1:19" ht="13.8">
      <c r="A250" s="1778"/>
      <c r="B250" s="1778"/>
      <c r="C250" s="1846" t="s">
        <v>1962</v>
      </c>
      <c r="D250" s="1792" t="s">
        <v>1834</v>
      </c>
      <c r="E250" s="1778"/>
      <c r="F250" s="1778"/>
      <c r="G250" s="1778"/>
      <c r="H250" s="1778"/>
      <c r="I250" s="1778"/>
      <c r="J250" s="1778"/>
      <c r="K250" s="1782" t="s">
        <v>4046</v>
      </c>
      <c r="L250" s="1778"/>
      <c r="M250" s="1778"/>
      <c r="N250" s="1778"/>
      <c r="O250" s="1778"/>
      <c r="P250" s="1778"/>
      <c r="Q250" s="1778"/>
      <c r="R250" s="1778"/>
      <c r="S250" s="1778"/>
    </row>
    <row r="251" spans="1:19" ht="13.8">
      <c r="A251" s="1778"/>
      <c r="B251" s="1778"/>
      <c r="C251" s="1778"/>
      <c r="D251" s="1778" t="s">
        <v>2089</v>
      </c>
      <c r="E251" s="1778" t="s">
        <v>739</v>
      </c>
      <c r="F251" s="1778"/>
      <c r="G251" s="1778"/>
      <c r="H251" s="1778" t="str">
        <f>'Part II-Development Team'!H33</f>
        <v>RBC Capital Markets</v>
      </c>
      <c r="I251" s="1792"/>
      <c r="J251" s="1792"/>
      <c r="K251" s="1792"/>
      <c r="L251" s="1792"/>
      <c r="M251" s="1792"/>
      <c r="N251" s="1792"/>
      <c r="O251" s="1781" t="s">
        <v>1963</v>
      </c>
      <c r="P251" s="1781"/>
      <c r="Q251" s="1778" t="str">
        <f>'Part II-Development Team'!Q33</f>
        <v>Christopher Tully</v>
      </c>
      <c r="R251" s="1792"/>
      <c r="S251" s="1792"/>
    </row>
    <row r="252" spans="1:19" ht="13.8">
      <c r="A252" s="1778"/>
      <c r="B252" s="1778"/>
      <c r="C252" s="1778"/>
      <c r="D252" s="1806"/>
      <c r="E252" s="1781" t="s">
        <v>1008</v>
      </c>
      <c r="F252" s="1783"/>
      <c r="G252" s="1778"/>
      <c r="H252" s="1778" t="str">
        <f>'Part II-Development Team'!H34</f>
        <v>200 Vesey Street, 9th Floor</v>
      </c>
      <c r="I252" s="1792"/>
      <c r="J252" s="1792"/>
      <c r="K252" s="1792"/>
      <c r="L252" s="1792"/>
      <c r="M252" s="1792"/>
      <c r="N252" s="1792"/>
      <c r="O252" s="1781" t="s">
        <v>1726</v>
      </c>
      <c r="P252" s="1778"/>
      <c r="Q252" s="1778" t="str">
        <f>'Part II-Development Team'!Q34</f>
        <v>Vice President</v>
      </c>
      <c r="R252" s="1792"/>
      <c r="S252" s="1792"/>
    </row>
    <row r="253" spans="1:19" ht="13.8">
      <c r="A253" s="1778"/>
      <c r="B253" s="1778"/>
      <c r="C253" s="1778"/>
      <c r="D253" s="1806"/>
      <c r="E253" s="1781" t="s">
        <v>607</v>
      </c>
      <c r="F253" s="1778"/>
      <c r="G253" s="1778"/>
      <c r="H253" s="1778" t="str">
        <f>'Part II-Development Team'!H35</f>
        <v>New York</v>
      </c>
      <c r="I253" s="1792"/>
      <c r="J253" s="1792"/>
      <c r="K253" s="1779" t="s">
        <v>2666</v>
      </c>
      <c r="L253" s="1778" t="str">
        <f>'Part II-Development Team'!L35</f>
        <v>www.rbccm.com</v>
      </c>
      <c r="M253" s="1792"/>
      <c r="N253" s="1792"/>
      <c r="O253" s="1781" t="s">
        <v>1700</v>
      </c>
      <c r="P253" s="1778"/>
      <c r="Q253" s="1798">
        <f>'Part II-Development Team'!Q35</f>
        <v>2126185619</v>
      </c>
      <c r="R253" s="1798"/>
      <c r="S253" s="1798"/>
    </row>
    <row r="254" spans="1:19" ht="13.8">
      <c r="A254" s="1778"/>
      <c r="B254" s="1778"/>
      <c r="C254" s="1778"/>
      <c r="D254" s="1778"/>
      <c r="E254" s="1781" t="s">
        <v>1776</v>
      </c>
      <c r="F254" s="1778"/>
      <c r="G254" s="1778"/>
      <c r="H254" s="1781" t="str">
        <f>'Part II-Development Team'!H36</f>
        <v>NY</v>
      </c>
      <c r="I254" s="1778"/>
      <c r="J254" s="1778"/>
      <c r="K254" s="1779" t="s">
        <v>2201</v>
      </c>
      <c r="L254" s="1797">
        <f>'Part II-Development Team'!L36</f>
        <v>102818098</v>
      </c>
      <c r="M254" s="1792"/>
      <c r="N254" s="1778"/>
      <c r="O254" s="1781" t="s">
        <v>1953</v>
      </c>
      <c r="P254" s="1778"/>
      <c r="Q254" s="1798">
        <f>'Part II-Development Team'!Q36</f>
        <v>0</v>
      </c>
      <c r="R254" s="1798"/>
      <c r="S254" s="1798"/>
    </row>
    <row r="255" spans="1:19" ht="13.8">
      <c r="A255" s="1778"/>
      <c r="B255" s="1778"/>
      <c r="C255" s="1778"/>
      <c r="D255" s="1806"/>
      <c r="E255" s="1781" t="s">
        <v>4047</v>
      </c>
      <c r="F255" s="1778"/>
      <c r="G255" s="1778"/>
      <c r="H255" s="1798">
        <f>'Part II-Development Team'!H37</f>
        <v>2126185619</v>
      </c>
      <c r="I255" s="1798"/>
      <c r="J255" s="1802">
        <f>'Part II-Development Team'!J37</f>
        <v>0</v>
      </c>
      <c r="K255" s="1779" t="s">
        <v>1958</v>
      </c>
      <c r="L255" s="1794" t="str">
        <f>'Part II-Development Team'!L37</f>
        <v xml:space="preserve">christopher.tully@rbccm.com </v>
      </c>
      <c r="M255" s="1794"/>
      <c r="N255" s="1794"/>
      <c r="O255" s="1794"/>
      <c r="P255" s="1794"/>
      <c r="Q255" s="1794"/>
      <c r="R255" s="1794"/>
      <c r="S255" s="1794"/>
    </row>
    <row r="256" spans="1:19" ht="13.8">
      <c r="A256" s="1787"/>
      <c r="B256" s="1787"/>
      <c r="C256" s="1787"/>
      <c r="D256" s="1787"/>
      <c r="E256" s="1787"/>
      <c r="F256" s="1787"/>
      <c r="G256" s="1787"/>
      <c r="H256" s="1798"/>
      <c r="I256" s="1798"/>
      <c r="J256" s="1798"/>
      <c r="K256" s="1779"/>
      <c r="L256" s="1798"/>
      <c r="M256" s="1798"/>
      <c r="N256" s="1779"/>
      <c r="O256" s="1798"/>
      <c r="P256" s="1798"/>
      <c r="Q256" s="1779"/>
      <c r="R256" s="1798"/>
      <c r="S256" s="1798"/>
    </row>
    <row r="257" spans="1:19" ht="13.8">
      <c r="A257" s="1778"/>
      <c r="B257" s="1778"/>
      <c r="C257" s="1778"/>
      <c r="D257" s="1778" t="s">
        <v>2090</v>
      </c>
      <c r="E257" s="1778" t="s">
        <v>740</v>
      </c>
      <c r="F257" s="1778"/>
      <c r="G257" s="1778"/>
      <c r="H257" s="1778" t="str">
        <f>'Part II-Development Team'!H39</f>
        <v>RBC Capital Markets</v>
      </c>
      <c r="I257" s="1792"/>
      <c r="J257" s="1792"/>
      <c r="K257" s="1792"/>
      <c r="L257" s="1792"/>
      <c r="M257" s="1792"/>
      <c r="N257" s="1792"/>
      <c r="O257" s="1781" t="s">
        <v>1963</v>
      </c>
      <c r="P257" s="1781"/>
      <c r="Q257" s="1778" t="str">
        <f>'Part II-Development Team'!Q39</f>
        <v>Christopher Tully</v>
      </c>
      <c r="R257" s="1792"/>
      <c r="S257" s="1792"/>
    </row>
    <row r="258" spans="1:19" ht="13.8">
      <c r="A258" s="1778"/>
      <c r="B258" s="1778"/>
      <c r="C258" s="1778"/>
      <c r="D258" s="1806"/>
      <c r="E258" s="1781" t="s">
        <v>1008</v>
      </c>
      <c r="F258" s="1783"/>
      <c r="G258" s="1778"/>
      <c r="H258" s="1778" t="str">
        <f>'Part II-Development Team'!H40</f>
        <v>200 Vesey Street, 9th Floor</v>
      </c>
      <c r="I258" s="1792"/>
      <c r="J258" s="1792"/>
      <c r="K258" s="1792"/>
      <c r="L258" s="1792"/>
      <c r="M258" s="1792"/>
      <c r="N258" s="1792"/>
      <c r="O258" s="1781" t="s">
        <v>1726</v>
      </c>
      <c r="P258" s="1778"/>
      <c r="Q258" s="1778" t="str">
        <f>'Part II-Development Team'!Q40</f>
        <v>Vice President</v>
      </c>
      <c r="R258" s="1792"/>
      <c r="S258" s="1792"/>
    </row>
    <row r="259" spans="1:19" ht="13.8">
      <c r="A259" s="1778"/>
      <c r="B259" s="1778"/>
      <c r="C259" s="1778"/>
      <c r="D259" s="1806"/>
      <c r="E259" s="1781" t="s">
        <v>607</v>
      </c>
      <c r="F259" s="1778"/>
      <c r="G259" s="1778"/>
      <c r="H259" s="1778" t="str">
        <f>'Part II-Development Team'!H41</f>
        <v>New York</v>
      </c>
      <c r="I259" s="1792"/>
      <c r="J259" s="1792"/>
      <c r="K259" s="1779" t="s">
        <v>2666</v>
      </c>
      <c r="L259" s="1778" t="str">
        <f>'Part II-Development Team'!L41</f>
        <v>www.rbccm.com</v>
      </c>
      <c r="M259" s="1792"/>
      <c r="N259" s="1792"/>
      <c r="O259" s="1781" t="s">
        <v>1700</v>
      </c>
      <c r="P259" s="1778"/>
      <c r="Q259" s="1798">
        <f>'Part II-Development Team'!Q41</f>
        <v>2126185619</v>
      </c>
      <c r="R259" s="1798"/>
      <c r="S259" s="1798"/>
    </row>
    <row r="260" spans="1:19" ht="13.8">
      <c r="A260" s="1778"/>
      <c r="B260" s="1778"/>
      <c r="C260" s="1778"/>
      <c r="D260" s="1778"/>
      <c r="E260" s="1781" t="s">
        <v>1776</v>
      </c>
      <c r="F260" s="1778"/>
      <c r="G260" s="1778"/>
      <c r="H260" s="1781" t="str">
        <f>'Part II-Development Team'!H42</f>
        <v>NY</v>
      </c>
      <c r="I260" s="1778"/>
      <c r="J260" s="1778"/>
      <c r="K260" s="1779" t="s">
        <v>2201</v>
      </c>
      <c r="L260" s="1797">
        <f>'Part II-Development Team'!L42</f>
        <v>102818098</v>
      </c>
      <c r="M260" s="1792"/>
      <c r="N260" s="1778"/>
      <c r="O260" s="1781" t="s">
        <v>1953</v>
      </c>
      <c r="P260" s="1778"/>
      <c r="Q260" s="1798">
        <f>'Part II-Development Team'!Q42</f>
        <v>0</v>
      </c>
      <c r="R260" s="1798"/>
      <c r="S260" s="1798"/>
    </row>
    <row r="261" spans="1:19" ht="13.8">
      <c r="A261" s="1778"/>
      <c r="B261" s="1778"/>
      <c r="C261" s="1778"/>
      <c r="D261" s="1806"/>
      <c r="E261" s="1781" t="s">
        <v>4047</v>
      </c>
      <c r="F261" s="1778"/>
      <c r="G261" s="1778"/>
      <c r="H261" s="1798">
        <f>'Part II-Development Team'!H43</f>
        <v>2126185619</v>
      </c>
      <c r="I261" s="1798"/>
      <c r="J261" s="1802">
        <f>'Part II-Development Team'!J43</f>
        <v>0</v>
      </c>
      <c r="K261" s="1779" t="s">
        <v>1958</v>
      </c>
      <c r="L261" s="1794" t="str">
        <f>'Part II-Development Team'!L43</f>
        <v xml:space="preserve">christopher.tully@rbccm.com </v>
      </c>
      <c r="M261" s="1794"/>
      <c r="N261" s="1794"/>
      <c r="O261" s="1794"/>
      <c r="P261" s="1794"/>
      <c r="Q261" s="1794"/>
      <c r="R261" s="1794"/>
      <c r="S261" s="1794"/>
    </row>
    <row r="262" spans="1:19" ht="13.8">
      <c r="A262" s="1778"/>
      <c r="B262" s="1778"/>
      <c r="C262" s="1778"/>
      <c r="D262" s="1806"/>
      <c r="E262" s="1781"/>
      <c r="F262" s="1778"/>
      <c r="G262" s="1778"/>
      <c r="H262" s="1838"/>
      <c r="I262" s="1838"/>
      <c r="J262" s="1847"/>
      <c r="K262" s="1779"/>
      <c r="L262" s="1838"/>
      <c r="M262" s="1838"/>
      <c r="N262" s="1779"/>
      <c r="O262" s="1838"/>
      <c r="P262" s="1838"/>
      <c r="Q262" s="1779"/>
      <c r="R262" s="1838"/>
      <c r="S262" s="1838"/>
    </row>
    <row r="263" spans="1:19" ht="13.8">
      <c r="A263" s="1778"/>
      <c r="B263" s="1778"/>
      <c r="C263" s="1848" t="s">
        <v>2501</v>
      </c>
      <c r="D263" s="1792" t="s">
        <v>640</v>
      </c>
      <c r="E263" s="1778"/>
      <c r="F263" s="1778"/>
      <c r="G263" s="1778"/>
      <c r="H263" s="1778"/>
      <c r="I263" s="1778"/>
      <c r="J263" s="1778"/>
      <c r="K263" s="1782" t="s">
        <v>4046</v>
      </c>
      <c r="L263" s="1778"/>
      <c r="M263" s="1778"/>
      <c r="N263" s="1778"/>
      <c r="O263" s="1778"/>
      <c r="P263" s="1778"/>
      <c r="Q263" s="1778"/>
      <c r="R263" s="1778"/>
      <c r="S263" s="1778"/>
    </row>
    <row r="264" spans="1:19" ht="13.8">
      <c r="A264" s="1778"/>
      <c r="B264" s="1778"/>
      <c r="C264" s="1778"/>
      <c r="D264" s="1778"/>
      <c r="E264" s="1778" t="s">
        <v>90</v>
      </c>
      <c r="F264" s="1778"/>
      <c r="G264" s="1778"/>
      <c r="H264" s="1778">
        <f>'Part II-Development Team'!H46</f>
        <v>0</v>
      </c>
      <c r="I264" s="1792"/>
      <c r="J264" s="1792"/>
      <c r="K264" s="1792"/>
      <c r="L264" s="1792"/>
      <c r="M264" s="1792"/>
      <c r="N264" s="1792"/>
      <c r="O264" s="1781" t="s">
        <v>1963</v>
      </c>
      <c r="P264" s="1781"/>
      <c r="Q264" s="1778">
        <f>'Part II-Development Team'!Q46</f>
        <v>0</v>
      </c>
      <c r="R264" s="1792"/>
      <c r="S264" s="1792"/>
    </row>
    <row r="265" spans="1:19" ht="13.8">
      <c r="A265" s="1778"/>
      <c r="B265" s="1778"/>
      <c r="C265" s="1778"/>
      <c r="D265" s="1806"/>
      <c r="E265" s="1781" t="s">
        <v>1008</v>
      </c>
      <c r="F265" s="1783"/>
      <c r="G265" s="1778"/>
      <c r="H265" s="1778">
        <f>'Part II-Development Team'!H47</f>
        <v>0</v>
      </c>
      <c r="I265" s="1792"/>
      <c r="J265" s="1792"/>
      <c r="K265" s="1792"/>
      <c r="L265" s="1792"/>
      <c r="M265" s="1792"/>
      <c r="N265" s="1792"/>
      <c r="O265" s="1781" t="s">
        <v>1726</v>
      </c>
      <c r="P265" s="1778"/>
      <c r="Q265" s="1778">
        <f>'Part II-Development Team'!Q47</f>
        <v>0</v>
      </c>
      <c r="R265" s="1792"/>
      <c r="S265" s="1792"/>
    </row>
    <row r="266" spans="1:19" ht="13.8">
      <c r="A266" s="1778"/>
      <c r="B266" s="1778"/>
      <c r="C266" s="1778"/>
      <c r="D266" s="1806"/>
      <c r="E266" s="1781" t="s">
        <v>607</v>
      </c>
      <c r="F266" s="1778"/>
      <c r="G266" s="1778"/>
      <c r="H266" s="1778">
        <f>'Part II-Development Team'!H48</f>
        <v>0</v>
      </c>
      <c r="I266" s="1792"/>
      <c r="J266" s="1792"/>
      <c r="K266" s="1779" t="s">
        <v>2666</v>
      </c>
      <c r="L266" s="1778">
        <f>'Part II-Development Team'!L48</f>
        <v>0</v>
      </c>
      <c r="M266" s="1792"/>
      <c r="N266" s="1792"/>
      <c r="O266" s="1781" t="s">
        <v>1700</v>
      </c>
      <c r="P266" s="1778"/>
      <c r="Q266" s="1798">
        <f>'Part II-Development Team'!Q48</f>
        <v>0</v>
      </c>
      <c r="R266" s="1798"/>
      <c r="S266" s="1798"/>
    </row>
    <row r="267" spans="1:19" ht="13.8">
      <c r="A267" s="1778"/>
      <c r="B267" s="1778"/>
      <c r="C267" s="1778"/>
      <c r="D267" s="1778"/>
      <c r="E267" s="1781" t="s">
        <v>1776</v>
      </c>
      <c r="F267" s="1778"/>
      <c r="G267" s="1778"/>
      <c r="H267" s="1781">
        <f>'Part II-Development Team'!H49</f>
        <v>0</v>
      </c>
      <c r="I267" s="1778"/>
      <c r="J267" s="1778"/>
      <c r="K267" s="1779" t="s">
        <v>2201</v>
      </c>
      <c r="L267" s="1797">
        <f>'Part II-Development Team'!L49</f>
        <v>0</v>
      </c>
      <c r="M267" s="1792"/>
      <c r="N267" s="1778"/>
      <c r="O267" s="1781" t="s">
        <v>1953</v>
      </c>
      <c r="P267" s="1778"/>
      <c r="Q267" s="1798">
        <f>'Part II-Development Team'!Q49</f>
        <v>0</v>
      </c>
      <c r="R267" s="1798"/>
      <c r="S267" s="1798"/>
    </row>
    <row r="268" spans="1:19" ht="13.8">
      <c r="A268" s="1778"/>
      <c r="B268" s="1778"/>
      <c r="C268" s="1778"/>
      <c r="D268" s="1806"/>
      <c r="E268" s="1781" t="s">
        <v>4047</v>
      </c>
      <c r="F268" s="1778"/>
      <c r="G268" s="1778"/>
      <c r="H268" s="1798">
        <f>'Part II-Development Team'!H50</f>
        <v>0</v>
      </c>
      <c r="I268" s="1798"/>
      <c r="J268" s="1802">
        <f>'Part II-Development Team'!J50</f>
        <v>0</v>
      </c>
      <c r="K268" s="1779" t="s">
        <v>1958</v>
      </c>
      <c r="L268" s="1794">
        <f>'Part II-Development Team'!L50</f>
        <v>0</v>
      </c>
      <c r="M268" s="1794"/>
      <c r="N268" s="1794"/>
      <c r="O268" s="1794"/>
      <c r="P268" s="1794"/>
      <c r="Q268" s="1794"/>
      <c r="R268" s="1794"/>
      <c r="S268" s="1794"/>
    </row>
    <row r="269" spans="1:19" ht="13.8">
      <c r="A269" s="1787"/>
      <c r="B269" s="1787"/>
      <c r="C269" s="1787"/>
      <c r="D269" s="1787"/>
      <c r="E269" s="1787"/>
      <c r="F269" s="1787"/>
      <c r="G269" s="1787"/>
      <c r="H269" s="1787"/>
      <c r="I269" s="1787"/>
      <c r="J269" s="1787"/>
      <c r="K269" s="1787"/>
      <c r="L269" s="1787"/>
      <c r="M269" s="1787"/>
      <c r="N269" s="1787"/>
      <c r="O269" s="1787"/>
      <c r="P269" s="1787"/>
      <c r="Q269" s="1787"/>
      <c r="R269" s="1787"/>
      <c r="S269" s="1787"/>
    </row>
    <row r="270" spans="1:19" ht="13.8">
      <c r="A270" s="1778" t="s">
        <v>729</v>
      </c>
      <c r="B270" s="1778" t="s">
        <v>641</v>
      </c>
      <c r="C270" s="1778"/>
      <c r="D270" s="1778"/>
      <c r="E270" s="1778"/>
      <c r="F270" s="1778"/>
      <c r="G270" s="1779"/>
      <c r="H270" s="1779"/>
      <c r="I270" s="1779"/>
      <c r="J270" s="1778"/>
      <c r="K270" s="1782" t="s">
        <v>4046</v>
      </c>
      <c r="L270" s="1778"/>
      <c r="M270" s="1778"/>
      <c r="N270" s="1778"/>
      <c r="O270" s="1778"/>
      <c r="P270" s="1778"/>
      <c r="Q270" s="1778"/>
      <c r="R270" s="1778"/>
      <c r="S270" s="1778"/>
    </row>
    <row r="271" spans="1:19" ht="13.8">
      <c r="A271" s="1778"/>
      <c r="B271" s="1778"/>
      <c r="C271" s="1778"/>
      <c r="D271" s="1778"/>
      <c r="E271" s="1778"/>
      <c r="F271" s="1778"/>
      <c r="G271" s="1779"/>
      <c r="H271" s="1798"/>
      <c r="I271" s="1798"/>
      <c r="J271" s="1798"/>
      <c r="K271" s="1779"/>
      <c r="L271" s="1798"/>
      <c r="M271" s="1798"/>
      <c r="N271" s="1779"/>
      <c r="O271" s="1798"/>
      <c r="P271" s="1798"/>
      <c r="Q271" s="1779"/>
      <c r="R271" s="1798"/>
      <c r="S271" s="1798"/>
    </row>
    <row r="272" spans="1:19" ht="13.8">
      <c r="A272" s="1778"/>
      <c r="B272" s="1778" t="s">
        <v>1957</v>
      </c>
      <c r="C272" s="1778" t="s">
        <v>279</v>
      </c>
      <c r="D272" s="1778"/>
      <c r="E272" s="1778"/>
      <c r="F272" s="1778"/>
      <c r="G272" s="1778"/>
      <c r="H272" s="1778" t="str">
        <f>'Part II-Development Team'!H54</f>
        <v>Pennrose LLC</v>
      </c>
      <c r="I272" s="1792"/>
      <c r="J272" s="1792"/>
      <c r="K272" s="1792"/>
      <c r="L272" s="1792"/>
      <c r="M272" s="1792"/>
      <c r="N272" s="1792"/>
      <c r="O272" s="1781" t="s">
        <v>1963</v>
      </c>
      <c r="P272" s="1781"/>
      <c r="Q272" s="1778" t="str">
        <f>'Part II-Development Team'!Q54</f>
        <v>Mark H. Dambly</v>
      </c>
      <c r="R272" s="1792"/>
      <c r="S272" s="1792"/>
    </row>
    <row r="273" spans="1:19" ht="13.8">
      <c r="A273" s="1778"/>
      <c r="B273" s="1778"/>
      <c r="C273" s="1778"/>
      <c r="D273" s="1806"/>
      <c r="E273" s="1781" t="s">
        <v>1008</v>
      </c>
      <c r="F273" s="1783"/>
      <c r="G273" s="1778"/>
      <c r="H273" s="1778" t="str">
        <f>'Part II-Development Team'!H55</f>
        <v>1301 N. 31st Street</v>
      </c>
      <c r="I273" s="1792"/>
      <c r="J273" s="1792"/>
      <c r="K273" s="1792"/>
      <c r="L273" s="1792"/>
      <c r="M273" s="1792"/>
      <c r="N273" s="1792"/>
      <c r="O273" s="1781" t="s">
        <v>1726</v>
      </c>
      <c r="P273" s="1778"/>
      <c r="Q273" s="1778" t="str">
        <f>'Part II-Development Team'!Q55</f>
        <v>President</v>
      </c>
      <c r="R273" s="1792"/>
      <c r="S273" s="1792"/>
    </row>
    <row r="274" spans="1:19" ht="13.8">
      <c r="A274" s="1778"/>
      <c r="B274" s="1778"/>
      <c r="C274" s="1778"/>
      <c r="D274" s="1806"/>
      <c r="E274" s="1781" t="s">
        <v>607</v>
      </c>
      <c r="F274" s="1778"/>
      <c r="G274" s="1778"/>
      <c r="H274" s="1778" t="str">
        <f>'Part II-Development Team'!H56</f>
        <v>Philadelphia</v>
      </c>
      <c r="I274" s="1792"/>
      <c r="J274" s="1792"/>
      <c r="K274" s="1779" t="s">
        <v>2666</v>
      </c>
      <c r="L274" s="1778" t="str">
        <f>'Part II-Development Team'!L56</f>
        <v>www.pennrose.com</v>
      </c>
      <c r="M274" s="1792"/>
      <c r="N274" s="1792"/>
      <c r="O274" s="1781" t="s">
        <v>1700</v>
      </c>
      <c r="P274" s="1778"/>
      <c r="Q274" s="1798">
        <f>'Part II-Development Team'!Q56</f>
        <v>2673868668</v>
      </c>
      <c r="R274" s="1798"/>
      <c r="S274" s="1798"/>
    </row>
    <row r="275" spans="1:19" ht="13.8">
      <c r="A275" s="1778"/>
      <c r="B275" s="1778"/>
      <c r="C275" s="1778"/>
      <c r="D275" s="1778"/>
      <c r="E275" s="1781" t="s">
        <v>1776</v>
      </c>
      <c r="F275" s="1778"/>
      <c r="G275" s="1778"/>
      <c r="H275" s="1781" t="str">
        <f>'Part II-Development Team'!H57</f>
        <v>PA</v>
      </c>
      <c r="I275" s="1778"/>
      <c r="J275" s="1778"/>
      <c r="K275" s="1779" t="s">
        <v>2201</v>
      </c>
      <c r="L275" s="1797">
        <f>'Part II-Development Team'!L57</f>
        <v>191214495</v>
      </c>
      <c r="M275" s="1792"/>
      <c r="N275" s="1778"/>
      <c r="O275" s="1781" t="s">
        <v>1953</v>
      </c>
      <c r="P275" s="1778"/>
      <c r="Q275" s="1798">
        <f>'Part II-Development Team'!Q57</f>
        <v>0</v>
      </c>
      <c r="R275" s="1798"/>
      <c r="S275" s="1798"/>
    </row>
    <row r="276" spans="1:19" ht="13.8">
      <c r="A276" s="1778"/>
      <c r="B276" s="1778"/>
      <c r="C276" s="1778"/>
      <c r="D276" s="1806"/>
      <c r="E276" s="1781" t="s">
        <v>4047</v>
      </c>
      <c r="F276" s="1778"/>
      <c r="G276" s="1778"/>
      <c r="H276" s="1798">
        <f>'Part II-Development Team'!H58</f>
        <v>2673868600</v>
      </c>
      <c r="I276" s="1798"/>
      <c r="J276" s="1802">
        <f>'Part II-Development Team'!J58</f>
        <v>0</v>
      </c>
      <c r="K276" s="1779" t="s">
        <v>1958</v>
      </c>
      <c r="L276" s="1794" t="str">
        <f>'Part II-Development Team'!L58</f>
        <v>mdambly@pennrose.com</v>
      </c>
      <c r="M276" s="1794"/>
      <c r="N276" s="1794"/>
      <c r="O276" s="1794"/>
      <c r="P276" s="1794"/>
      <c r="Q276" s="1794"/>
      <c r="R276" s="1794"/>
      <c r="S276" s="1794"/>
    </row>
    <row r="277" spans="1:19" ht="13.8">
      <c r="A277" s="1778"/>
      <c r="B277" s="1778"/>
      <c r="C277" s="1778"/>
      <c r="D277" s="1806"/>
      <c r="E277" s="1778"/>
      <c r="F277" s="1778"/>
      <c r="G277" s="1781"/>
      <c r="H277" s="1798"/>
      <c r="I277" s="1798"/>
      <c r="J277" s="1798"/>
      <c r="K277" s="1779"/>
      <c r="L277" s="1798"/>
      <c r="M277" s="1798"/>
      <c r="N277" s="1779"/>
      <c r="O277" s="1798"/>
      <c r="P277" s="1798"/>
      <c r="Q277" s="1779"/>
      <c r="R277" s="1798"/>
      <c r="S277" s="1798"/>
    </row>
    <row r="278" spans="1:19" ht="13.8">
      <c r="A278" s="1778"/>
      <c r="B278" s="1778" t="s">
        <v>1959</v>
      </c>
      <c r="C278" s="1778" t="s">
        <v>280</v>
      </c>
      <c r="D278" s="1778"/>
      <c r="E278" s="1778"/>
      <c r="F278" s="1778"/>
      <c r="G278" s="1778"/>
      <c r="H278" s="1778" t="str">
        <f>'Part II-Development Team'!H60</f>
        <v xml:space="preserve">FCS Urban Ministries, Inc. </v>
      </c>
      <c r="I278" s="1792"/>
      <c r="J278" s="1792"/>
      <c r="K278" s="1792"/>
      <c r="L278" s="1792"/>
      <c r="M278" s="1792"/>
      <c r="N278" s="1792"/>
      <c r="O278" s="1781" t="s">
        <v>1963</v>
      </c>
      <c r="P278" s="1781"/>
      <c r="Q278" s="1778" t="str">
        <f>'Part II-Development Team'!Q60</f>
        <v>Jim Wehner</v>
      </c>
      <c r="R278" s="1792"/>
      <c r="S278" s="1792"/>
    </row>
    <row r="279" spans="1:19" ht="13.8">
      <c r="A279" s="1778"/>
      <c r="B279" s="1778"/>
      <c r="C279" s="1778"/>
      <c r="D279" s="1806"/>
      <c r="E279" s="1781" t="s">
        <v>1008</v>
      </c>
      <c r="F279" s="1783"/>
      <c r="G279" s="1778"/>
      <c r="H279" s="1778" t="str">
        <f>'Part II-Development Team'!H61</f>
        <v xml:space="preserve">1297 Jonesboro Road SE </v>
      </c>
      <c r="I279" s="1792"/>
      <c r="J279" s="1792"/>
      <c r="K279" s="1792"/>
      <c r="L279" s="1792"/>
      <c r="M279" s="1792"/>
      <c r="N279" s="1792"/>
      <c r="O279" s="1781" t="s">
        <v>1726</v>
      </c>
      <c r="P279" s="1778"/>
      <c r="Q279" s="1778" t="str">
        <f>'Part II-Development Team'!Q61</f>
        <v>President</v>
      </c>
      <c r="R279" s="1792"/>
      <c r="S279" s="1792"/>
    </row>
    <row r="280" spans="1:19" ht="13.8">
      <c r="A280" s="1778"/>
      <c r="B280" s="1778"/>
      <c r="C280" s="1778"/>
      <c r="D280" s="1806"/>
      <c r="E280" s="1781" t="s">
        <v>607</v>
      </c>
      <c r="F280" s="1778"/>
      <c r="G280" s="1778"/>
      <c r="H280" s="1778" t="str">
        <f>'Part II-Development Team'!H62</f>
        <v>Atlanta</v>
      </c>
      <c r="I280" s="1792"/>
      <c r="J280" s="1792"/>
      <c r="K280" s="1779" t="s">
        <v>2666</v>
      </c>
      <c r="L280" s="1778" t="str">
        <f>'Part II-Development Team'!L62</f>
        <v>https://www.fcsministries.org/</v>
      </c>
      <c r="M280" s="1792"/>
      <c r="N280" s="1792"/>
      <c r="O280" s="1781" t="s">
        <v>1700</v>
      </c>
      <c r="P280" s="1778"/>
      <c r="Q280" s="1798">
        <f>'Part II-Development Team'!Q62</f>
        <v>4046274304</v>
      </c>
      <c r="R280" s="1798"/>
      <c r="S280" s="1798"/>
    </row>
    <row r="281" spans="1:19" ht="13.8">
      <c r="A281" s="1778"/>
      <c r="B281" s="1778"/>
      <c r="C281" s="1778"/>
      <c r="D281" s="1778"/>
      <c r="E281" s="1781" t="s">
        <v>1776</v>
      </c>
      <c r="F281" s="1778"/>
      <c r="G281" s="1778"/>
      <c r="H281" s="1781" t="str">
        <f>'Part II-Development Team'!H63</f>
        <v>GA</v>
      </c>
      <c r="I281" s="1778"/>
      <c r="J281" s="1778"/>
      <c r="K281" s="1779" t="s">
        <v>2201</v>
      </c>
      <c r="L281" s="1797">
        <f>'Part II-Development Team'!L63</f>
        <v>303150000</v>
      </c>
      <c r="M281" s="1792"/>
      <c r="N281" s="1778"/>
      <c r="O281" s="1781" t="s">
        <v>1953</v>
      </c>
      <c r="P281" s="1778"/>
      <c r="Q281" s="1798">
        <f>'Part II-Development Team'!Q63</f>
        <v>4048197539</v>
      </c>
      <c r="R281" s="1798"/>
      <c r="S281" s="1798"/>
    </row>
    <row r="282" spans="1:19" ht="13.8">
      <c r="A282" s="1778"/>
      <c r="B282" s="1778"/>
      <c r="C282" s="1778"/>
      <c r="D282" s="1806"/>
      <c r="E282" s="1781" t="s">
        <v>4047</v>
      </c>
      <c r="F282" s="1778"/>
      <c r="G282" s="1778"/>
      <c r="H282" s="1798">
        <f>'Part II-Development Team'!H64</f>
        <v>4046274304</v>
      </c>
      <c r="I282" s="1798"/>
      <c r="J282" s="1802">
        <f>'Part II-Development Team'!J64</f>
        <v>0</v>
      </c>
      <c r="K282" s="1779" t="s">
        <v>1958</v>
      </c>
      <c r="L282" s="1794" t="str">
        <f>'Part II-Development Team'!L64</f>
        <v>Jim@fcsministries.org</v>
      </c>
      <c r="M282" s="1794"/>
      <c r="N282" s="1794"/>
      <c r="O282" s="1794"/>
      <c r="P282" s="1794"/>
      <c r="Q282" s="1794"/>
      <c r="R282" s="1794"/>
      <c r="S282" s="1794"/>
    </row>
    <row r="283" spans="1:19" ht="13.8">
      <c r="A283" s="1778"/>
      <c r="B283" s="1778"/>
      <c r="C283" s="1778"/>
      <c r="D283" s="1806"/>
      <c r="E283" s="1778"/>
      <c r="F283" s="1778"/>
      <c r="G283" s="1781"/>
      <c r="H283" s="1798"/>
      <c r="I283" s="1798"/>
      <c r="J283" s="1798"/>
      <c r="K283" s="1779"/>
      <c r="L283" s="1798"/>
      <c r="M283" s="1798"/>
      <c r="N283" s="1779"/>
      <c r="O283" s="1798"/>
      <c r="P283" s="1798"/>
      <c r="Q283" s="1779"/>
      <c r="R283" s="1798"/>
      <c r="S283" s="1798"/>
    </row>
    <row r="284" spans="1:19" ht="13.8">
      <c r="A284" s="1778"/>
      <c r="B284" s="1778" t="s">
        <v>738</v>
      </c>
      <c r="C284" s="1778" t="s">
        <v>1510</v>
      </c>
      <c r="D284" s="1778"/>
      <c r="E284" s="1778"/>
      <c r="F284" s="1778"/>
      <c r="G284" s="1778"/>
      <c r="H284" s="1778">
        <f>'Part II-Development Team'!H66</f>
        <v>0</v>
      </c>
      <c r="I284" s="1792"/>
      <c r="J284" s="1792"/>
      <c r="K284" s="1792"/>
      <c r="L284" s="1792"/>
      <c r="M284" s="1792"/>
      <c r="N284" s="1792"/>
      <c r="O284" s="1781" t="s">
        <v>1963</v>
      </c>
      <c r="P284" s="1781"/>
      <c r="Q284" s="1778">
        <f>'Part II-Development Team'!Q66</f>
        <v>0</v>
      </c>
      <c r="R284" s="1792"/>
      <c r="S284" s="1792"/>
    </row>
    <row r="285" spans="1:19" ht="13.8">
      <c r="A285" s="1778"/>
      <c r="B285" s="1778"/>
      <c r="C285" s="1778"/>
      <c r="D285" s="1806"/>
      <c r="E285" s="1781" t="s">
        <v>1008</v>
      </c>
      <c r="F285" s="1783"/>
      <c r="G285" s="1778"/>
      <c r="H285" s="1778">
        <f>'Part II-Development Team'!H67</f>
        <v>0</v>
      </c>
      <c r="I285" s="1792"/>
      <c r="J285" s="1792"/>
      <c r="K285" s="1792"/>
      <c r="L285" s="1792"/>
      <c r="M285" s="1792"/>
      <c r="N285" s="1792"/>
      <c r="O285" s="1781" t="s">
        <v>1726</v>
      </c>
      <c r="P285" s="1778"/>
      <c r="Q285" s="1778">
        <f>'Part II-Development Team'!Q67</f>
        <v>0</v>
      </c>
      <c r="R285" s="1792"/>
      <c r="S285" s="1792"/>
    </row>
    <row r="286" spans="1:19" ht="13.8">
      <c r="A286" s="1778"/>
      <c r="B286" s="1778"/>
      <c r="C286" s="1778"/>
      <c r="D286" s="1806"/>
      <c r="E286" s="1781" t="s">
        <v>607</v>
      </c>
      <c r="F286" s="1778"/>
      <c r="G286" s="1778"/>
      <c r="H286" s="1778">
        <f>'Part II-Development Team'!H68</f>
        <v>0</v>
      </c>
      <c r="I286" s="1792"/>
      <c r="J286" s="1792"/>
      <c r="K286" s="1779" t="s">
        <v>2666</v>
      </c>
      <c r="L286" s="1778">
        <f>'Part II-Development Team'!L68</f>
        <v>0</v>
      </c>
      <c r="M286" s="1792"/>
      <c r="N286" s="1792"/>
      <c r="O286" s="1781" t="s">
        <v>1700</v>
      </c>
      <c r="P286" s="1778"/>
      <c r="Q286" s="1798">
        <f>'Part II-Development Team'!Q68</f>
        <v>0</v>
      </c>
      <c r="R286" s="1798"/>
      <c r="S286" s="1798"/>
    </row>
    <row r="287" spans="1:19" ht="13.8">
      <c r="A287" s="1778"/>
      <c r="B287" s="1778"/>
      <c r="C287" s="1778"/>
      <c r="D287" s="1778"/>
      <c r="E287" s="1781" t="s">
        <v>1776</v>
      </c>
      <c r="F287" s="1778"/>
      <c r="G287" s="1778"/>
      <c r="H287" s="1781">
        <f>'Part II-Development Team'!H69</f>
        <v>0</v>
      </c>
      <c r="I287" s="1778"/>
      <c r="J287" s="1778"/>
      <c r="K287" s="1779" t="s">
        <v>2201</v>
      </c>
      <c r="L287" s="1797">
        <f>'Part II-Development Team'!L69</f>
        <v>0</v>
      </c>
      <c r="M287" s="1792"/>
      <c r="N287" s="1778"/>
      <c r="O287" s="1781" t="s">
        <v>1953</v>
      </c>
      <c r="P287" s="1778"/>
      <c r="Q287" s="1798">
        <f>'Part II-Development Team'!Q69</f>
        <v>0</v>
      </c>
      <c r="R287" s="1798"/>
      <c r="S287" s="1798"/>
    </row>
    <row r="288" spans="1:19" ht="13.8">
      <c r="A288" s="1778"/>
      <c r="B288" s="1778"/>
      <c r="C288" s="1778"/>
      <c r="D288" s="1806"/>
      <c r="E288" s="1781" t="s">
        <v>4047</v>
      </c>
      <c r="F288" s="1778"/>
      <c r="G288" s="1778"/>
      <c r="H288" s="1798">
        <f>'Part II-Development Team'!H70</f>
        <v>0</v>
      </c>
      <c r="I288" s="1798"/>
      <c r="J288" s="1802">
        <f>'Part II-Development Team'!J70</f>
        <v>0</v>
      </c>
      <c r="K288" s="1779" t="s">
        <v>1958</v>
      </c>
      <c r="L288" s="1794">
        <f>'Part II-Development Team'!L70</f>
        <v>0</v>
      </c>
      <c r="M288" s="1794"/>
      <c r="N288" s="1794"/>
      <c r="O288" s="1794"/>
      <c r="P288" s="1794"/>
      <c r="Q288" s="1794"/>
      <c r="R288" s="1794"/>
      <c r="S288" s="1794"/>
    </row>
    <row r="289" spans="1:19" ht="13.8">
      <c r="A289" s="1787"/>
      <c r="B289" s="1787"/>
      <c r="C289" s="1787"/>
      <c r="D289" s="1787"/>
      <c r="E289" s="1787"/>
      <c r="F289" s="1787"/>
      <c r="G289" s="1787"/>
      <c r="H289" s="1798"/>
      <c r="I289" s="1798"/>
      <c r="J289" s="1798"/>
      <c r="K289" s="1779"/>
      <c r="L289" s="1798"/>
      <c r="M289" s="1798"/>
      <c r="N289" s="1779"/>
      <c r="O289" s="1798"/>
      <c r="P289" s="1798"/>
      <c r="Q289" s="1779"/>
      <c r="R289" s="1798"/>
      <c r="S289" s="1798"/>
    </row>
    <row r="290" spans="1:19" ht="13.8">
      <c r="A290" s="1778"/>
      <c r="B290" s="1778" t="s">
        <v>2088</v>
      </c>
      <c r="C290" s="1778" t="s">
        <v>281</v>
      </c>
      <c r="D290" s="1778"/>
      <c r="E290" s="1778"/>
      <c r="F290" s="1778"/>
      <c r="G290" s="1778"/>
      <c r="H290" s="1778" t="str">
        <f>'Part II-Development Team'!H72</f>
        <v>Green Sustainable Solutions, d/b/a Beechwood Residential</v>
      </c>
      <c r="I290" s="1792"/>
      <c r="J290" s="1792"/>
      <c r="K290" s="1792"/>
      <c r="L290" s="1792"/>
      <c r="M290" s="1792"/>
      <c r="N290" s="1792"/>
      <c r="O290" s="1781" t="s">
        <v>1963</v>
      </c>
      <c r="P290" s="1781"/>
      <c r="Q290" s="1778" t="str">
        <f>'Part II-Development Team'!Q72</f>
        <v>Wendy Green Daniels</v>
      </c>
      <c r="R290" s="1792"/>
      <c r="S290" s="1792"/>
    </row>
    <row r="291" spans="1:19" ht="13.8">
      <c r="A291" s="1778"/>
      <c r="B291" s="1778"/>
      <c r="C291" s="1778"/>
      <c r="D291" s="1806"/>
      <c r="E291" s="1781" t="s">
        <v>1008</v>
      </c>
      <c r="F291" s="1783"/>
      <c r="G291" s="1778"/>
      <c r="H291" s="1778" t="str">
        <f>'Part II-Development Team'!H73</f>
        <v>2346 Dogwood Avenue</v>
      </c>
      <c r="I291" s="1792"/>
      <c r="J291" s="1792"/>
      <c r="K291" s="1792"/>
      <c r="L291" s="1792"/>
      <c r="M291" s="1792"/>
      <c r="N291" s="1792"/>
      <c r="O291" s="1781" t="s">
        <v>1726</v>
      </c>
      <c r="P291" s="1778"/>
      <c r="Q291" s="1778" t="str">
        <f>'Part II-Development Team'!Q73</f>
        <v>President</v>
      </c>
      <c r="R291" s="1792"/>
      <c r="S291" s="1792"/>
    </row>
    <row r="292" spans="1:19" ht="13.8">
      <c r="A292" s="1778"/>
      <c r="B292" s="1778"/>
      <c r="C292" s="1778"/>
      <c r="D292" s="1806"/>
      <c r="E292" s="1781" t="s">
        <v>607</v>
      </c>
      <c r="F292" s="1778"/>
      <c r="G292" s="1778"/>
      <c r="H292" s="1778" t="str">
        <f>'Part II-Development Team'!H74</f>
        <v>Baton Rouge</v>
      </c>
      <c r="I292" s="1792"/>
      <c r="J292" s="1792"/>
      <c r="K292" s="1779" t="s">
        <v>2666</v>
      </c>
      <c r="L292" s="1778" t="str">
        <f>'Part II-Development Team'!L74</f>
        <v>www.beechwoodres.com</v>
      </c>
      <c r="M292" s="1792"/>
      <c r="N292" s="1792"/>
      <c r="O292" s="1781" t="s">
        <v>1700</v>
      </c>
      <c r="P292" s="1778"/>
      <c r="Q292" s="1798">
        <f>'Part II-Development Team'!Q74</f>
        <v>2259339688</v>
      </c>
      <c r="R292" s="1798"/>
      <c r="S292" s="1798"/>
    </row>
    <row r="293" spans="1:19" ht="13.8">
      <c r="A293" s="1778"/>
      <c r="B293" s="1778"/>
      <c r="C293" s="1778"/>
      <c r="D293" s="1778"/>
      <c r="E293" s="1781" t="s">
        <v>1776</v>
      </c>
      <c r="F293" s="1778"/>
      <c r="G293" s="1778"/>
      <c r="H293" s="1781" t="str">
        <f>'Part II-Development Team'!H75</f>
        <v>LA</v>
      </c>
      <c r="I293" s="1778"/>
      <c r="J293" s="1778"/>
      <c r="K293" s="1779" t="s">
        <v>2201</v>
      </c>
      <c r="L293" s="1797">
        <f>'Part II-Development Team'!L75</f>
        <v>708081231</v>
      </c>
      <c r="M293" s="1792"/>
      <c r="N293" s="1778"/>
      <c r="O293" s="1781" t="s">
        <v>1953</v>
      </c>
      <c r="P293" s="1778"/>
      <c r="Q293" s="1798">
        <f>'Part II-Development Team'!Q75</f>
        <v>0</v>
      </c>
      <c r="R293" s="1798"/>
      <c r="S293" s="1798"/>
    </row>
    <row r="294" spans="1:19" ht="13.8">
      <c r="A294" s="1778"/>
      <c r="B294" s="1778"/>
      <c r="C294" s="1778"/>
      <c r="D294" s="1806"/>
      <c r="E294" s="1781" t="s">
        <v>4047</v>
      </c>
      <c r="F294" s="1778"/>
      <c r="G294" s="1778"/>
      <c r="H294" s="1798">
        <f>'Part II-Development Team'!H76</f>
        <v>2259339688</v>
      </c>
      <c r="I294" s="1798"/>
      <c r="J294" s="1802">
        <f>'Part II-Development Team'!J76</f>
        <v>0</v>
      </c>
      <c r="K294" s="1779" t="s">
        <v>1958</v>
      </c>
      <c r="L294" s="1794" t="str">
        <f>'Part II-Development Team'!L76</f>
        <v>wgreen@beechwoodres.com</v>
      </c>
      <c r="M294" s="1794"/>
      <c r="N294" s="1794"/>
      <c r="O294" s="1794"/>
      <c r="P294" s="1794"/>
      <c r="Q294" s="1794"/>
      <c r="R294" s="1794"/>
      <c r="S294" s="1794"/>
    </row>
    <row r="295" spans="1:19" ht="13.8">
      <c r="A295" s="1787"/>
      <c r="B295" s="1787"/>
      <c r="C295" s="1787"/>
      <c r="D295" s="1787"/>
      <c r="E295" s="1787"/>
      <c r="F295" s="1787"/>
      <c r="G295" s="1787"/>
      <c r="H295" s="1787"/>
      <c r="I295" s="1787"/>
      <c r="J295" s="1787"/>
      <c r="K295" s="1787"/>
      <c r="L295" s="1787"/>
      <c r="M295" s="1787"/>
      <c r="N295" s="1787"/>
      <c r="O295" s="1787"/>
      <c r="P295" s="1787"/>
      <c r="Q295" s="1787"/>
      <c r="R295" s="1787"/>
      <c r="S295" s="1787"/>
    </row>
    <row r="296" spans="1:19" ht="13.8">
      <c r="A296" s="1781" t="s">
        <v>731</v>
      </c>
      <c r="B296" s="1781" t="s">
        <v>282</v>
      </c>
      <c r="C296" s="1781"/>
      <c r="D296" s="1781"/>
      <c r="E296" s="1781"/>
      <c r="F296" s="1781"/>
      <c r="G296" s="1781"/>
      <c r="H296" s="1781"/>
      <c r="I296" s="1781"/>
      <c r="J296" s="1781"/>
      <c r="K296" s="1782" t="s">
        <v>4046</v>
      </c>
      <c r="L296" s="1781"/>
      <c r="M296" s="1781"/>
      <c r="N296" s="1781"/>
      <c r="O296" s="1781"/>
      <c r="P296" s="1781"/>
      <c r="Q296" s="1781"/>
      <c r="R296" s="1781"/>
      <c r="S296" s="1781"/>
    </row>
    <row r="297" spans="1:19" ht="13.8">
      <c r="A297" s="1781"/>
      <c r="B297" s="1781"/>
      <c r="C297" s="1781"/>
      <c r="D297" s="1781"/>
      <c r="E297" s="1781"/>
      <c r="F297" s="1781"/>
      <c r="G297" s="1781"/>
      <c r="H297" s="1798"/>
      <c r="I297" s="1798"/>
      <c r="J297" s="1798"/>
      <c r="K297" s="1779"/>
      <c r="L297" s="1798"/>
      <c r="M297" s="1798"/>
      <c r="N297" s="1779"/>
      <c r="O297" s="1798"/>
      <c r="P297" s="1798"/>
      <c r="Q297" s="1779"/>
      <c r="R297" s="1798"/>
      <c r="S297" s="1798"/>
    </row>
    <row r="298" spans="1:19" ht="13.8">
      <c r="A298" s="1778"/>
      <c r="B298" s="1778" t="s">
        <v>1957</v>
      </c>
      <c r="C298" s="1778" t="s">
        <v>283</v>
      </c>
      <c r="D298" s="1778"/>
      <c r="E298" s="1778"/>
      <c r="F298" s="1778"/>
      <c r="G298" s="1778"/>
      <c r="H298" s="1778">
        <f>'Part II-Development Team'!H80</f>
        <v>0</v>
      </c>
      <c r="I298" s="1792"/>
      <c r="J298" s="1792"/>
      <c r="K298" s="1792"/>
      <c r="L298" s="1792"/>
      <c r="M298" s="1792"/>
      <c r="N298" s="1792"/>
      <c r="O298" s="1781" t="s">
        <v>1963</v>
      </c>
      <c r="P298" s="1781"/>
      <c r="Q298" s="1778">
        <f>'Part II-Development Team'!Q80</f>
        <v>0</v>
      </c>
      <c r="R298" s="1792"/>
      <c r="S298" s="1792"/>
    </row>
    <row r="299" spans="1:19" ht="13.8">
      <c r="A299" s="1778"/>
      <c r="B299" s="1778"/>
      <c r="C299" s="1778"/>
      <c r="D299" s="1806"/>
      <c r="E299" s="1781" t="s">
        <v>1008</v>
      </c>
      <c r="F299" s="1783"/>
      <c r="G299" s="1778"/>
      <c r="H299" s="1778">
        <f>'Part II-Development Team'!H81</f>
        <v>0</v>
      </c>
      <c r="I299" s="1792"/>
      <c r="J299" s="1792"/>
      <c r="K299" s="1792"/>
      <c r="L299" s="1792"/>
      <c r="M299" s="1792"/>
      <c r="N299" s="1792"/>
      <c r="O299" s="1781" t="s">
        <v>1726</v>
      </c>
      <c r="P299" s="1778"/>
      <c r="Q299" s="1778">
        <f>'Part II-Development Team'!Q81</f>
        <v>0</v>
      </c>
      <c r="R299" s="1792"/>
      <c r="S299" s="1792"/>
    </row>
    <row r="300" spans="1:19" ht="13.8">
      <c r="A300" s="1778"/>
      <c r="B300" s="1778"/>
      <c r="C300" s="1778"/>
      <c r="D300" s="1806"/>
      <c r="E300" s="1781" t="s">
        <v>607</v>
      </c>
      <c r="F300" s="1778"/>
      <c r="G300" s="1778"/>
      <c r="H300" s="1778">
        <f>'Part II-Development Team'!H82</f>
        <v>0</v>
      </c>
      <c r="I300" s="1792"/>
      <c r="J300" s="1792"/>
      <c r="K300" s="1779" t="s">
        <v>2666</v>
      </c>
      <c r="L300" s="1778">
        <f>'Part II-Development Team'!L82</f>
        <v>0</v>
      </c>
      <c r="M300" s="1792"/>
      <c r="N300" s="1792"/>
      <c r="O300" s="1781" t="s">
        <v>1700</v>
      </c>
      <c r="P300" s="1778"/>
      <c r="Q300" s="1798">
        <f>'Part II-Development Team'!Q82</f>
        <v>0</v>
      </c>
      <c r="R300" s="1798"/>
      <c r="S300" s="1798"/>
    </row>
    <row r="301" spans="1:19" ht="13.8">
      <c r="A301" s="1778"/>
      <c r="B301" s="1778"/>
      <c r="C301" s="1778"/>
      <c r="D301" s="1778"/>
      <c r="E301" s="1781" t="s">
        <v>1776</v>
      </c>
      <c r="F301" s="1778"/>
      <c r="G301" s="1778"/>
      <c r="H301" s="1781">
        <f>'Part II-Development Team'!H83</f>
        <v>0</v>
      </c>
      <c r="I301" s="1778"/>
      <c r="J301" s="1778"/>
      <c r="K301" s="1779" t="s">
        <v>2201</v>
      </c>
      <c r="L301" s="1797">
        <f>'Part II-Development Team'!L83</f>
        <v>0</v>
      </c>
      <c r="M301" s="1792"/>
      <c r="N301" s="1778"/>
      <c r="O301" s="1781" t="s">
        <v>1953</v>
      </c>
      <c r="P301" s="1778"/>
      <c r="Q301" s="1798">
        <f>'Part II-Development Team'!Q83</f>
        <v>0</v>
      </c>
      <c r="R301" s="1798"/>
      <c r="S301" s="1798"/>
    </row>
    <row r="302" spans="1:19" ht="13.8">
      <c r="A302" s="1778"/>
      <c r="B302" s="1778"/>
      <c r="C302" s="1778"/>
      <c r="D302" s="1806"/>
      <c r="E302" s="1781" t="s">
        <v>4047</v>
      </c>
      <c r="F302" s="1778"/>
      <c r="G302" s="1778"/>
      <c r="H302" s="1798">
        <f>'Part II-Development Team'!H84</f>
        <v>0</v>
      </c>
      <c r="I302" s="1798"/>
      <c r="J302" s="1802">
        <f>'Part II-Development Team'!J84</f>
        <v>0</v>
      </c>
      <c r="K302" s="1779" t="s">
        <v>1958</v>
      </c>
      <c r="L302" s="1794">
        <f>'Part II-Development Team'!L84</f>
        <v>0</v>
      </c>
      <c r="M302" s="1794"/>
      <c r="N302" s="1794"/>
      <c r="O302" s="1794"/>
      <c r="P302" s="1794"/>
      <c r="Q302" s="1794"/>
      <c r="R302" s="1794"/>
      <c r="S302" s="1794"/>
    </row>
    <row r="303" spans="1:19" ht="13.8">
      <c r="A303" s="1787"/>
      <c r="B303" s="1787"/>
      <c r="C303" s="1787"/>
      <c r="D303" s="1787"/>
      <c r="E303" s="1787"/>
      <c r="F303" s="1787"/>
      <c r="G303" s="1787"/>
      <c r="H303" s="1798"/>
      <c r="I303" s="1798"/>
      <c r="J303" s="1798"/>
      <c r="K303" s="1779"/>
      <c r="L303" s="1798"/>
      <c r="M303" s="1798"/>
      <c r="N303" s="1779"/>
      <c r="O303" s="1798"/>
      <c r="P303" s="1798"/>
      <c r="Q303" s="1779"/>
      <c r="R303" s="1798"/>
      <c r="S303" s="1798"/>
    </row>
    <row r="304" spans="1:19" ht="13.8">
      <c r="A304" s="1778"/>
      <c r="B304" s="1778" t="s">
        <v>1959</v>
      </c>
      <c r="C304" s="1778" t="s">
        <v>284</v>
      </c>
      <c r="D304" s="1778"/>
      <c r="E304" s="1778"/>
      <c r="F304" s="1778"/>
      <c r="G304" s="1778"/>
      <c r="H304" s="1778" t="str">
        <f>'Part II-Development Team'!H86</f>
        <v>Capstone Building Corp</v>
      </c>
      <c r="I304" s="1792"/>
      <c r="J304" s="1792"/>
      <c r="K304" s="1792"/>
      <c r="L304" s="1792"/>
      <c r="M304" s="1792"/>
      <c r="N304" s="1792"/>
      <c r="O304" s="1781" t="s">
        <v>1963</v>
      </c>
      <c r="P304" s="1781"/>
      <c r="Q304" s="1778" t="str">
        <f>'Part II-Development Team'!Q86</f>
        <v>Chris Travis</v>
      </c>
      <c r="R304" s="1792"/>
      <c r="S304" s="1792"/>
    </row>
    <row r="305" spans="1:19" ht="13.8">
      <c r="A305" s="1778"/>
      <c r="B305" s="1778"/>
      <c r="C305" s="1778"/>
      <c r="D305" s="1806"/>
      <c r="E305" s="1781" t="s">
        <v>1008</v>
      </c>
      <c r="F305" s="1783"/>
      <c r="G305" s="1778"/>
      <c r="H305" s="1778" t="str">
        <f>'Part II-Development Team'!H87</f>
        <v>3415 Independence Drive</v>
      </c>
      <c r="I305" s="1792"/>
      <c r="J305" s="1792"/>
      <c r="K305" s="1792"/>
      <c r="L305" s="1792"/>
      <c r="M305" s="1792"/>
      <c r="N305" s="1792"/>
      <c r="O305" s="1781" t="s">
        <v>1726</v>
      </c>
      <c r="P305" s="1778"/>
      <c r="Q305" s="1778" t="str">
        <f>'Part II-Development Team'!Q87</f>
        <v xml:space="preserve">Sr. VP, Finance </v>
      </c>
      <c r="R305" s="1792"/>
      <c r="S305" s="1792"/>
    </row>
    <row r="306" spans="1:19" ht="13.8">
      <c r="A306" s="1778"/>
      <c r="B306" s="1778"/>
      <c r="C306" s="1778"/>
      <c r="D306" s="1806"/>
      <c r="E306" s="1781" t="s">
        <v>607</v>
      </c>
      <c r="F306" s="1778"/>
      <c r="G306" s="1778"/>
      <c r="H306" s="1778" t="str">
        <f>'Part II-Development Team'!H88</f>
        <v>Birmingham</v>
      </c>
      <c r="I306" s="1792"/>
      <c r="J306" s="1792"/>
      <c r="K306" s="1779" t="s">
        <v>2666</v>
      </c>
      <c r="L306" s="1778" t="str">
        <f>'Part II-Development Team'!L88</f>
        <v>www.capstonebuilding.com</v>
      </c>
      <c r="M306" s="1792"/>
      <c r="N306" s="1792"/>
      <c r="O306" s="1781" t="s">
        <v>1700</v>
      </c>
      <c r="P306" s="1778"/>
      <c r="Q306" s="1798">
        <f>'Part II-Development Team'!Q88</f>
        <v>2053805671</v>
      </c>
      <c r="R306" s="1798"/>
      <c r="S306" s="1798"/>
    </row>
    <row r="307" spans="1:19" ht="13.8">
      <c r="A307" s="1778"/>
      <c r="B307" s="1778"/>
      <c r="C307" s="1778"/>
      <c r="D307" s="1778"/>
      <c r="E307" s="1781" t="s">
        <v>1776</v>
      </c>
      <c r="F307" s="1778"/>
      <c r="G307" s="1778"/>
      <c r="H307" s="1781" t="str">
        <f>'Part II-Development Team'!H89</f>
        <v>AL</v>
      </c>
      <c r="I307" s="1778"/>
      <c r="J307" s="1778"/>
      <c r="K307" s="1779" t="s">
        <v>2201</v>
      </c>
      <c r="L307" s="1797">
        <f>'Part II-Development Team'!L89</f>
        <v>352098314</v>
      </c>
      <c r="M307" s="1792"/>
      <c r="N307" s="1778"/>
      <c r="O307" s="1781" t="s">
        <v>1953</v>
      </c>
      <c r="P307" s="1778"/>
      <c r="Q307" s="1798">
        <f>'Part II-Development Team'!Q89</f>
        <v>0</v>
      </c>
      <c r="R307" s="1798"/>
      <c r="S307" s="1798"/>
    </row>
    <row r="308" spans="1:19" ht="13.8">
      <c r="A308" s="1778"/>
      <c r="B308" s="1778"/>
      <c r="C308" s="1778"/>
      <c r="D308" s="1806"/>
      <c r="E308" s="1781" t="s">
        <v>4047</v>
      </c>
      <c r="F308" s="1778"/>
      <c r="G308" s="1778"/>
      <c r="H308" s="1798">
        <f>'Part II-Development Team'!H90</f>
        <v>2053805671</v>
      </c>
      <c r="I308" s="1798"/>
      <c r="J308" s="1802">
        <f>'Part II-Development Team'!J90</f>
        <v>0</v>
      </c>
      <c r="K308" s="1779" t="s">
        <v>1958</v>
      </c>
      <c r="L308" s="1794" t="str">
        <f>'Part II-Development Team'!L90</f>
        <v xml:space="preserve">ctravis@capstonebuilding.com </v>
      </c>
      <c r="M308" s="1794"/>
      <c r="N308" s="1794"/>
      <c r="O308" s="1794"/>
      <c r="P308" s="1794"/>
      <c r="Q308" s="1794"/>
      <c r="R308" s="1794"/>
      <c r="S308" s="1794"/>
    </row>
    <row r="309" spans="1:19" ht="13.8">
      <c r="A309" s="1787"/>
      <c r="B309" s="1787"/>
      <c r="C309" s="1787"/>
      <c r="D309" s="1787"/>
      <c r="E309" s="1787"/>
      <c r="F309" s="1787"/>
      <c r="G309" s="1787"/>
      <c r="H309" s="1798"/>
      <c r="I309" s="1798"/>
      <c r="J309" s="1798"/>
      <c r="K309" s="1779"/>
      <c r="L309" s="1798"/>
      <c r="M309" s="1798"/>
      <c r="N309" s="1779"/>
      <c r="O309" s="1798"/>
      <c r="P309" s="1798"/>
      <c r="Q309" s="1779"/>
      <c r="R309" s="1798"/>
      <c r="S309" s="1798"/>
    </row>
    <row r="310" spans="1:19" ht="13.8">
      <c r="A310" s="1778"/>
      <c r="B310" s="1778" t="s">
        <v>738</v>
      </c>
      <c r="C310" s="1778" t="s">
        <v>285</v>
      </c>
      <c r="D310" s="1778"/>
      <c r="E310" s="1778"/>
      <c r="F310" s="1787"/>
      <c r="G310" s="1778"/>
      <c r="H310" s="1778" t="str">
        <f>'Part II-Development Team'!H92</f>
        <v>LEDIC Management Group, LLC</v>
      </c>
      <c r="I310" s="1792"/>
      <c r="J310" s="1792"/>
      <c r="K310" s="1792"/>
      <c r="L310" s="1792"/>
      <c r="M310" s="1792"/>
      <c r="N310" s="1792"/>
      <c r="O310" s="1781" t="s">
        <v>1963</v>
      </c>
      <c r="P310" s="1781"/>
      <c r="Q310" s="1778" t="str">
        <f>'Part II-Development Team'!Q92</f>
        <v>Piece Ledbetter</v>
      </c>
      <c r="R310" s="1792"/>
      <c r="S310" s="1792"/>
    </row>
    <row r="311" spans="1:19" ht="13.8">
      <c r="A311" s="1778"/>
      <c r="B311" s="1778"/>
      <c r="C311" s="1778"/>
      <c r="D311" s="1806"/>
      <c r="E311" s="1781" t="s">
        <v>1008</v>
      </c>
      <c r="F311" s="1783"/>
      <c r="G311" s="1778"/>
      <c r="H311" s="1778" t="str">
        <f>'Part II-Development Team'!H93</f>
        <v>555 Perkins Ext</v>
      </c>
      <c r="I311" s="1792"/>
      <c r="J311" s="1792"/>
      <c r="K311" s="1792"/>
      <c r="L311" s="1792"/>
      <c r="M311" s="1792"/>
      <c r="N311" s="1792"/>
      <c r="O311" s="1781" t="s">
        <v>1726</v>
      </c>
      <c r="P311" s="1778"/>
      <c r="Q311" s="1778" t="str">
        <f>'Part II-Development Team'!Q93</f>
        <v>CEO</v>
      </c>
      <c r="R311" s="1792"/>
      <c r="S311" s="1792"/>
    </row>
    <row r="312" spans="1:19" ht="13.8">
      <c r="A312" s="1778"/>
      <c r="B312" s="1778"/>
      <c r="C312" s="1778"/>
      <c r="D312" s="1806"/>
      <c r="E312" s="1781" t="s">
        <v>607</v>
      </c>
      <c r="F312" s="1778"/>
      <c r="G312" s="1778"/>
      <c r="H312" s="1778" t="str">
        <f>'Part II-Development Team'!H94</f>
        <v>Memphis</v>
      </c>
      <c r="I312" s="1792"/>
      <c r="J312" s="1792"/>
      <c r="K312" s="1779" t="s">
        <v>2666</v>
      </c>
      <c r="L312" s="1778" t="str">
        <f>'Part II-Development Team'!L94</f>
        <v>www.ledic.com</v>
      </c>
      <c r="M312" s="1792"/>
      <c r="N312" s="1792"/>
      <c r="O312" s="1781" t="s">
        <v>1700</v>
      </c>
      <c r="P312" s="1778"/>
      <c r="Q312" s="1798">
        <f>'Part II-Development Team'!Q94</f>
        <v>9014357710</v>
      </c>
      <c r="R312" s="1798"/>
      <c r="S312" s="1798"/>
    </row>
    <row r="313" spans="1:19" ht="13.8">
      <c r="A313" s="1778"/>
      <c r="B313" s="1778"/>
      <c r="C313" s="1778"/>
      <c r="D313" s="1806"/>
      <c r="E313" s="1781" t="s">
        <v>1776</v>
      </c>
      <c r="F313" s="1778"/>
      <c r="G313" s="1778"/>
      <c r="H313" s="1781" t="str">
        <f>'Part II-Development Team'!H95</f>
        <v>TN</v>
      </c>
      <c r="I313" s="1778"/>
      <c r="J313" s="1778"/>
      <c r="K313" s="1779" t="s">
        <v>2201</v>
      </c>
      <c r="L313" s="1797">
        <f>'Part II-Development Team'!L95</f>
        <v>303382715</v>
      </c>
      <c r="M313" s="1792"/>
      <c r="N313" s="1778"/>
      <c r="O313" s="1781" t="s">
        <v>1953</v>
      </c>
      <c r="P313" s="1778"/>
      <c r="Q313" s="1798">
        <f>'Part II-Development Team'!Q95</f>
        <v>9012705081</v>
      </c>
      <c r="R313" s="1798"/>
      <c r="S313" s="1798"/>
    </row>
    <row r="314" spans="1:19" ht="13.8">
      <c r="A314" s="1778"/>
      <c r="B314" s="1778"/>
      <c r="C314" s="1778"/>
      <c r="D314" s="1806"/>
      <c r="E314" s="1781" t="s">
        <v>4047</v>
      </c>
      <c r="F314" s="1778"/>
      <c r="G314" s="1778"/>
      <c r="H314" s="1798">
        <f>'Part II-Development Team'!H96</f>
        <v>9014357700</v>
      </c>
      <c r="I314" s="1798"/>
      <c r="J314" s="1802">
        <f>'Part II-Development Team'!J96</f>
        <v>0</v>
      </c>
      <c r="K314" s="1779" t="s">
        <v>1958</v>
      </c>
      <c r="L314" s="1794" t="str">
        <f>'Part II-Development Team'!L96</f>
        <v>pierce.ledbetter@ledic.com</v>
      </c>
      <c r="M314" s="1794"/>
      <c r="N314" s="1794"/>
      <c r="O314" s="1794"/>
      <c r="P314" s="1794"/>
      <c r="Q314" s="1794"/>
      <c r="R314" s="1794"/>
      <c r="S314" s="1794"/>
    </row>
    <row r="315" spans="1:19" ht="13.8">
      <c r="A315" s="1787"/>
      <c r="B315" s="1787"/>
      <c r="C315" s="1787"/>
      <c r="D315" s="1787"/>
      <c r="E315" s="1787"/>
      <c r="F315" s="1787"/>
      <c r="G315" s="1787"/>
      <c r="H315" s="1798"/>
      <c r="I315" s="1798"/>
      <c r="J315" s="1798"/>
      <c r="K315" s="1779"/>
      <c r="L315" s="1798"/>
      <c r="M315" s="1798"/>
      <c r="N315" s="1779"/>
      <c r="O315" s="1798"/>
      <c r="P315" s="1798"/>
      <c r="Q315" s="1779"/>
      <c r="R315" s="1798"/>
      <c r="S315" s="1798"/>
    </row>
    <row r="316" spans="1:19" ht="13.8">
      <c r="A316" s="1778"/>
      <c r="B316" s="1778" t="s">
        <v>2088</v>
      </c>
      <c r="C316" s="1778" t="s">
        <v>286</v>
      </c>
      <c r="D316" s="1778"/>
      <c r="E316" s="1778"/>
      <c r="F316" s="1778"/>
      <c r="G316" s="1778"/>
      <c r="H316" s="1778" t="str">
        <f>'Part II-Development Team'!H98</f>
        <v>Berman Indictor LLP</v>
      </c>
      <c r="I316" s="1792"/>
      <c r="J316" s="1792"/>
      <c r="K316" s="1792"/>
      <c r="L316" s="1792"/>
      <c r="M316" s="1792"/>
      <c r="N316" s="1792"/>
      <c r="O316" s="1781" t="s">
        <v>1963</v>
      </c>
      <c r="P316" s="1781"/>
      <c r="Q316" s="1778" t="str">
        <f>'Part II-Development Team'!Q98</f>
        <v>Steve Berman</v>
      </c>
      <c r="R316" s="1792"/>
      <c r="S316" s="1792"/>
    </row>
    <row r="317" spans="1:19" ht="13.8">
      <c r="A317" s="1778"/>
      <c r="B317" s="1778"/>
      <c r="C317" s="1778"/>
      <c r="D317" s="1806"/>
      <c r="E317" s="1781" t="s">
        <v>1008</v>
      </c>
      <c r="F317" s="1783"/>
      <c r="G317" s="1778"/>
      <c r="H317" s="1778" t="str">
        <f>'Part II-Development Team'!H99</f>
        <v>30 N. 41st Street, Suite 450</v>
      </c>
      <c r="I317" s="1792"/>
      <c r="J317" s="1792"/>
      <c r="K317" s="1792"/>
      <c r="L317" s="1792"/>
      <c r="M317" s="1792"/>
      <c r="N317" s="1792"/>
      <c r="O317" s="1781" t="s">
        <v>1726</v>
      </c>
      <c r="P317" s="1778"/>
      <c r="Q317" s="1778" t="str">
        <f>'Part II-Development Team'!Q99</f>
        <v>Principal</v>
      </c>
      <c r="R317" s="1792"/>
      <c r="S317" s="1792"/>
    </row>
    <row r="318" spans="1:19" ht="13.8">
      <c r="A318" s="1778"/>
      <c r="B318" s="1778"/>
      <c r="C318" s="1778"/>
      <c r="D318" s="1806"/>
      <c r="E318" s="1781" t="s">
        <v>607</v>
      </c>
      <c r="F318" s="1778"/>
      <c r="G318" s="1778"/>
      <c r="H318" s="1778" t="str">
        <f>'Part II-Development Team'!H100</f>
        <v>Philadelphia</v>
      </c>
      <c r="I318" s="1792"/>
      <c r="J318" s="1792"/>
      <c r="K318" s="1779" t="s">
        <v>2666</v>
      </c>
      <c r="L318" s="1778" t="str">
        <f>'Part II-Development Team'!L100</f>
        <v>www.bermanindictor.com</v>
      </c>
      <c r="M318" s="1792"/>
      <c r="N318" s="1792"/>
      <c r="O318" s="1781" t="s">
        <v>1700</v>
      </c>
      <c r="P318" s="1778"/>
      <c r="Q318" s="1798">
        <f>'Part II-Development Team'!Q100</f>
        <v>2158259740</v>
      </c>
      <c r="R318" s="1798"/>
      <c r="S318" s="1798"/>
    </row>
    <row r="319" spans="1:19" ht="13.8">
      <c r="A319" s="1778"/>
      <c r="B319" s="1778"/>
      <c r="C319" s="1778"/>
      <c r="D319" s="1806"/>
      <c r="E319" s="1781" t="s">
        <v>1776</v>
      </c>
      <c r="F319" s="1778"/>
      <c r="G319" s="1778"/>
      <c r="H319" s="1781" t="str">
        <f>'Part II-Development Team'!H101</f>
        <v>PA</v>
      </c>
      <c r="I319" s="1778"/>
      <c r="J319" s="1778"/>
      <c r="K319" s="1779" t="s">
        <v>2201</v>
      </c>
      <c r="L319" s="1797">
        <f>'Part II-Development Team'!L101</f>
        <v>191042590</v>
      </c>
      <c r="M319" s="1792"/>
      <c r="N319" s="1778"/>
      <c r="O319" s="1781" t="s">
        <v>1953</v>
      </c>
      <c r="P319" s="1778"/>
      <c r="Q319" s="1798">
        <f>'Part II-Development Team'!Q101</f>
        <v>0</v>
      </c>
      <c r="R319" s="1798"/>
      <c r="S319" s="1798"/>
    </row>
    <row r="320" spans="1:19" ht="13.8">
      <c r="A320" s="1787"/>
      <c r="B320" s="1787"/>
      <c r="C320" s="1787"/>
      <c r="D320" s="1787"/>
      <c r="E320" s="1781" t="s">
        <v>4047</v>
      </c>
      <c r="F320" s="1778"/>
      <c r="G320" s="1778"/>
      <c r="H320" s="1798">
        <f>'Part II-Development Team'!H102</f>
        <v>2158259730</v>
      </c>
      <c r="I320" s="1798"/>
      <c r="J320" s="1802">
        <f>'Part II-Development Team'!J102</f>
        <v>0</v>
      </c>
      <c r="K320" s="1779" t="s">
        <v>1958</v>
      </c>
      <c r="L320" s="1794" t="str">
        <f>'Part II-Development Team'!L102</f>
        <v>berman@bermanindictor.com</v>
      </c>
      <c r="M320" s="1794"/>
      <c r="N320" s="1794"/>
      <c r="O320" s="1794"/>
      <c r="P320" s="1794"/>
      <c r="Q320" s="1794"/>
      <c r="R320" s="1794"/>
      <c r="S320" s="1794"/>
    </row>
    <row r="321" spans="1:19" ht="13.8">
      <c r="A321" s="1787"/>
      <c r="B321" s="1787"/>
      <c r="C321" s="1787"/>
      <c r="D321" s="1787"/>
      <c r="E321" s="1781"/>
      <c r="F321" s="1778"/>
      <c r="G321" s="1778"/>
      <c r="H321" s="1798"/>
      <c r="I321" s="1798"/>
      <c r="J321" s="1798"/>
      <c r="K321" s="1779"/>
      <c r="L321" s="1798"/>
      <c r="M321" s="1798"/>
      <c r="N321" s="1779"/>
      <c r="O321" s="1798"/>
      <c r="P321" s="1798"/>
      <c r="Q321" s="1779"/>
      <c r="R321" s="1798"/>
      <c r="S321" s="1798"/>
    </row>
    <row r="322" spans="1:19" ht="13.8">
      <c r="A322" s="1778"/>
      <c r="B322" s="1778" t="s">
        <v>1714</v>
      </c>
      <c r="C322" s="1778" t="s">
        <v>287</v>
      </c>
      <c r="D322" s="1778"/>
      <c r="E322" s="1778"/>
      <c r="F322" s="1778"/>
      <c r="G322" s="1778"/>
      <c r="H322" s="1778" t="str">
        <f>'Part II-Development Team'!H104</f>
        <v>CohnReznick</v>
      </c>
      <c r="I322" s="1792"/>
      <c r="J322" s="1792"/>
      <c r="K322" s="1792"/>
      <c r="L322" s="1792"/>
      <c r="M322" s="1792"/>
      <c r="N322" s="1792"/>
      <c r="O322" s="1781" t="s">
        <v>1963</v>
      </c>
      <c r="P322" s="1781"/>
      <c r="Q322" s="1778" t="str">
        <f>'Part II-Development Team'!Q104</f>
        <v>Michael Cumming</v>
      </c>
      <c r="R322" s="1792"/>
      <c r="S322" s="1792"/>
    </row>
    <row r="323" spans="1:19" ht="13.8">
      <c r="A323" s="1778"/>
      <c r="B323" s="1778"/>
      <c r="C323" s="1778"/>
      <c r="D323" s="1806"/>
      <c r="E323" s="1781" t="s">
        <v>1008</v>
      </c>
      <c r="F323" s="1783"/>
      <c r="G323" s="1778"/>
      <c r="H323" s="1778" t="str">
        <f>'Part II-Development Team'!H105</f>
        <v>500 East Pratt Street, Suite 200</v>
      </c>
      <c r="I323" s="1792"/>
      <c r="J323" s="1792"/>
      <c r="K323" s="1792"/>
      <c r="L323" s="1792"/>
      <c r="M323" s="1792"/>
      <c r="N323" s="1792"/>
      <c r="O323" s="1781" t="s">
        <v>1726</v>
      </c>
      <c r="P323" s="1778"/>
      <c r="Q323" s="1778" t="str">
        <f>'Part II-Development Team'!Q105</f>
        <v>Principal</v>
      </c>
      <c r="R323" s="1792"/>
      <c r="S323" s="1792"/>
    </row>
    <row r="324" spans="1:19" ht="13.8">
      <c r="A324" s="1778"/>
      <c r="B324" s="1778"/>
      <c r="C324" s="1778"/>
      <c r="D324" s="1806"/>
      <c r="E324" s="1781" t="s">
        <v>607</v>
      </c>
      <c r="F324" s="1778"/>
      <c r="G324" s="1778"/>
      <c r="H324" s="1778" t="str">
        <f>'Part II-Development Team'!H106</f>
        <v>Baltimore</v>
      </c>
      <c r="I324" s="1792"/>
      <c r="J324" s="1792"/>
      <c r="K324" s="1779" t="s">
        <v>2666</v>
      </c>
      <c r="L324" s="1778" t="str">
        <f>'Part II-Development Team'!L106</f>
        <v>www.cohnreznick.com</v>
      </c>
      <c r="M324" s="1792"/>
      <c r="N324" s="1792"/>
      <c r="O324" s="1781" t="s">
        <v>1700</v>
      </c>
      <c r="P324" s="1778"/>
      <c r="Q324" s="1798">
        <f>'Part II-Development Team'!Q106</f>
        <v>4107834900</v>
      </c>
      <c r="R324" s="1798"/>
      <c r="S324" s="1798"/>
    </row>
    <row r="325" spans="1:19" ht="13.8">
      <c r="A325" s="1778"/>
      <c r="B325" s="1778"/>
      <c r="C325" s="1778"/>
      <c r="D325" s="1806"/>
      <c r="E325" s="1781" t="s">
        <v>1776</v>
      </c>
      <c r="F325" s="1778"/>
      <c r="G325" s="1778"/>
      <c r="H325" s="1781" t="str">
        <f>'Part II-Development Team'!H107</f>
        <v>MD</v>
      </c>
      <c r="I325" s="1778"/>
      <c r="J325" s="1778"/>
      <c r="K325" s="1779" t="s">
        <v>2201</v>
      </c>
      <c r="L325" s="1797">
        <f>'Part II-Development Team'!L107</f>
        <v>212023100</v>
      </c>
      <c r="M325" s="1792"/>
      <c r="N325" s="1778"/>
      <c r="O325" s="1781" t="s">
        <v>1953</v>
      </c>
      <c r="P325" s="1778"/>
      <c r="Q325" s="1798">
        <f>'Part II-Development Team'!Q107</f>
        <v>0</v>
      </c>
      <c r="R325" s="1798"/>
      <c r="S325" s="1798"/>
    </row>
    <row r="326" spans="1:19" ht="13.8">
      <c r="A326" s="1787"/>
      <c r="B326" s="1787"/>
      <c r="C326" s="1787"/>
      <c r="D326" s="1787"/>
      <c r="E326" s="1781" t="s">
        <v>4047</v>
      </c>
      <c r="F326" s="1778"/>
      <c r="G326" s="1778"/>
      <c r="H326" s="1798">
        <f>'Part II-Development Team'!H108</f>
        <v>4107834900</v>
      </c>
      <c r="I326" s="1798"/>
      <c r="J326" s="1802">
        <f>'Part II-Development Team'!J108</f>
        <v>0</v>
      </c>
      <c r="K326" s="1779" t="s">
        <v>1958</v>
      </c>
      <c r="L326" s="1794" t="str">
        <f>'Part II-Development Team'!L108</f>
        <v xml:space="preserve">mike.cumming@cohnreznick.com </v>
      </c>
      <c r="M326" s="1794"/>
      <c r="N326" s="1794"/>
      <c r="O326" s="1794"/>
      <c r="P326" s="1794"/>
      <c r="Q326" s="1794"/>
      <c r="R326" s="1794"/>
      <c r="S326" s="1794"/>
    </row>
    <row r="327" spans="1:19" ht="13.8">
      <c r="A327" s="1787"/>
      <c r="B327" s="1787"/>
      <c r="C327" s="1787"/>
      <c r="D327" s="1787"/>
      <c r="E327" s="1781"/>
      <c r="F327" s="1778"/>
      <c r="G327" s="1778"/>
      <c r="H327" s="1798"/>
      <c r="I327" s="1798"/>
      <c r="J327" s="1798"/>
      <c r="K327" s="1779"/>
      <c r="L327" s="1798"/>
      <c r="M327" s="1798"/>
      <c r="N327" s="1779"/>
      <c r="O327" s="1798"/>
      <c r="P327" s="1798"/>
      <c r="Q327" s="1779"/>
      <c r="R327" s="1798"/>
      <c r="S327" s="1798"/>
    </row>
    <row r="328" spans="1:19" ht="13.8">
      <c r="A328" s="1778"/>
      <c r="B328" s="1778" t="s">
        <v>1715</v>
      </c>
      <c r="C328" s="1778" t="s">
        <v>288</v>
      </c>
      <c r="D328" s="1778"/>
      <c r="E328" s="1778"/>
      <c r="F328" s="1778"/>
      <c r="G328" s="1778"/>
      <c r="H328" s="1778" t="str">
        <f>'Part II-Development Team'!H110</f>
        <v>Kitchen and Associates</v>
      </c>
      <c r="I328" s="1792"/>
      <c r="J328" s="1792"/>
      <c r="K328" s="1792"/>
      <c r="L328" s="1792"/>
      <c r="M328" s="1792"/>
      <c r="N328" s="1792"/>
      <c r="O328" s="1781" t="s">
        <v>1963</v>
      </c>
      <c r="P328" s="1781"/>
      <c r="Q328" s="1778" t="str">
        <f>'Part II-Development Team'!Q110</f>
        <v>Steve Schoch</v>
      </c>
      <c r="R328" s="1792"/>
      <c r="S328" s="1792"/>
    </row>
    <row r="329" spans="1:19" ht="13.8">
      <c r="A329" s="1778"/>
      <c r="B329" s="1778"/>
      <c r="C329" s="1778"/>
      <c r="D329" s="1806"/>
      <c r="E329" s="1781" t="s">
        <v>1008</v>
      </c>
      <c r="F329" s="1783"/>
      <c r="G329" s="1778"/>
      <c r="H329" s="1778" t="str">
        <f>'Part II-Development Team'!H111</f>
        <v>756 Haddon Avenue</v>
      </c>
      <c r="I329" s="1792"/>
      <c r="J329" s="1792"/>
      <c r="K329" s="1792"/>
      <c r="L329" s="1792"/>
      <c r="M329" s="1792"/>
      <c r="N329" s="1792"/>
      <c r="O329" s="1781" t="s">
        <v>1726</v>
      </c>
      <c r="P329" s="1778"/>
      <c r="Q329" s="1778" t="str">
        <f>'Part II-Development Team'!Q111</f>
        <v>Principal</v>
      </c>
      <c r="R329" s="1792"/>
      <c r="S329" s="1792"/>
    </row>
    <row r="330" spans="1:19" ht="13.8">
      <c r="A330" s="1778"/>
      <c r="B330" s="1778"/>
      <c r="C330" s="1778"/>
      <c r="D330" s="1806"/>
      <c r="E330" s="1781" t="s">
        <v>607</v>
      </c>
      <c r="F330" s="1778"/>
      <c r="G330" s="1778"/>
      <c r="H330" s="1778" t="str">
        <f>'Part II-Development Team'!H112</f>
        <v>Collingwood</v>
      </c>
      <c r="I330" s="1792"/>
      <c r="J330" s="1792"/>
      <c r="K330" s="1779" t="s">
        <v>2666</v>
      </c>
      <c r="L330" s="1778" t="str">
        <f>'Part II-Development Team'!L112</f>
        <v>www.kitchenandassociates.com</v>
      </c>
      <c r="M330" s="1792"/>
      <c r="N330" s="1792"/>
      <c r="O330" s="1781" t="s">
        <v>1700</v>
      </c>
      <c r="P330" s="1778"/>
      <c r="Q330" s="1798">
        <f>'Part II-Development Team'!Q112</f>
        <v>8565592063</v>
      </c>
      <c r="R330" s="1798"/>
      <c r="S330" s="1798"/>
    </row>
    <row r="331" spans="1:19" ht="13.8">
      <c r="A331" s="1778"/>
      <c r="B331" s="1778"/>
      <c r="C331" s="1778"/>
      <c r="D331" s="1806"/>
      <c r="E331" s="1781" t="s">
        <v>1776</v>
      </c>
      <c r="F331" s="1778"/>
      <c r="G331" s="1778"/>
      <c r="H331" s="1781" t="str">
        <f>'Part II-Development Team'!H113</f>
        <v>NJ</v>
      </c>
      <c r="I331" s="1778"/>
      <c r="J331" s="1778"/>
      <c r="K331" s="1779" t="s">
        <v>2201</v>
      </c>
      <c r="L331" s="1797">
        <f>'Part II-Development Team'!L113</f>
        <v>81083712</v>
      </c>
      <c r="M331" s="1792"/>
      <c r="N331" s="1778"/>
      <c r="O331" s="1781" t="s">
        <v>1953</v>
      </c>
      <c r="P331" s="1778"/>
      <c r="Q331" s="1798">
        <f>'Part II-Development Team'!Q113</f>
        <v>0</v>
      </c>
      <c r="R331" s="1798"/>
      <c r="S331" s="1798"/>
    </row>
    <row r="332" spans="1:19" ht="13.8">
      <c r="A332" s="1778"/>
      <c r="B332" s="1778"/>
      <c r="C332" s="1778"/>
      <c r="D332" s="1806"/>
      <c r="E332" s="1781" t="s">
        <v>4047</v>
      </c>
      <c r="F332" s="1778"/>
      <c r="G332" s="1778"/>
      <c r="H332" s="1798">
        <f>'Part II-Development Team'!H114</f>
        <v>8568541880</v>
      </c>
      <c r="I332" s="1798"/>
      <c r="J332" s="1802">
        <f>'Part II-Development Team'!J114</f>
        <v>0</v>
      </c>
      <c r="K332" s="1779" t="s">
        <v>1958</v>
      </c>
      <c r="L332" s="1794" t="str">
        <f>'Part II-Development Team'!L114</f>
        <v>sschoch@kitchenandassociates.com</v>
      </c>
      <c r="M332" s="1794"/>
      <c r="N332" s="1794"/>
      <c r="O332" s="1794"/>
      <c r="P332" s="1794"/>
      <c r="Q332" s="1794"/>
      <c r="R332" s="1794"/>
      <c r="S332" s="1794"/>
    </row>
    <row r="333" spans="1:19" ht="13.8">
      <c r="A333" s="1787"/>
      <c r="B333" s="1787"/>
      <c r="C333" s="1787"/>
      <c r="D333" s="1787"/>
      <c r="E333" s="1787"/>
      <c r="F333" s="1787"/>
      <c r="G333" s="1787"/>
      <c r="H333" s="1787"/>
      <c r="I333" s="1787"/>
      <c r="J333" s="1787"/>
      <c r="K333" s="1787"/>
      <c r="L333" s="1787"/>
      <c r="M333" s="1787"/>
      <c r="N333" s="1787"/>
      <c r="O333" s="1787"/>
      <c r="P333" s="1787"/>
      <c r="Q333" s="1787"/>
      <c r="R333" s="1787"/>
      <c r="S333" s="1787"/>
    </row>
    <row r="334" spans="1:19" ht="13.8">
      <c r="A334" s="1778" t="s">
        <v>1770</v>
      </c>
      <c r="B334" s="1778" t="s">
        <v>2569</v>
      </c>
      <c r="C334" s="1778"/>
      <c r="D334" s="1778"/>
      <c r="E334" s="1778"/>
      <c r="F334" s="1778"/>
      <c r="G334" s="1779"/>
      <c r="H334" s="1779"/>
      <c r="I334" s="1779"/>
      <c r="J334" s="1779"/>
      <c r="K334" s="1779"/>
      <c r="L334" s="1779"/>
      <c r="M334" s="1779"/>
      <c r="N334" s="1779"/>
      <c r="O334" s="1779"/>
      <c r="P334" s="1779"/>
      <c r="Q334" s="1779"/>
      <c r="R334" s="1778"/>
      <c r="S334" s="1778"/>
    </row>
    <row r="335" spans="1:19" ht="13.8">
      <c r="A335" s="1778"/>
      <c r="B335" s="1778" t="s">
        <v>1957</v>
      </c>
      <c r="C335" s="1778" t="s">
        <v>4762</v>
      </c>
      <c r="D335" s="1778"/>
      <c r="E335" s="1778"/>
      <c r="F335" s="1778"/>
      <c r="G335" s="1778"/>
      <c r="H335" s="1778" t="str">
        <f>'Part II-Development Team'!H117</f>
        <v>FCS Urban Ministries, Inc.</v>
      </c>
      <c r="I335" s="1778"/>
      <c r="J335" s="1778"/>
      <c r="K335" s="1779" t="s">
        <v>2442</v>
      </c>
      <c r="L335" s="1778" t="str">
        <f>'Part II-Development Team'!L117</f>
        <v>Katie Delp</v>
      </c>
      <c r="M335" s="1792"/>
      <c r="N335" s="1792"/>
      <c r="O335" s="1781" t="s">
        <v>3507</v>
      </c>
      <c r="P335" s="1778"/>
      <c r="Q335" s="1798">
        <f>'Part II-Development Team'!Q117</f>
        <v>4046274304</v>
      </c>
      <c r="R335" s="1849"/>
      <c r="S335" s="1849"/>
    </row>
    <row r="336" spans="1:19" ht="13.8">
      <c r="A336" s="1778"/>
      <c r="B336" s="1778"/>
      <c r="C336" s="1778"/>
      <c r="D336" s="1806"/>
      <c r="E336" s="1781" t="s">
        <v>1008</v>
      </c>
      <c r="F336" s="1783"/>
      <c r="G336" s="1778"/>
      <c r="H336" s="1778" t="str">
        <f>'Part II-Development Team'!H118</f>
        <v>1297 Jonesboro Raod SE</v>
      </c>
      <c r="I336" s="1792"/>
      <c r="J336" s="1792"/>
      <c r="K336" s="1792"/>
      <c r="L336" s="1792"/>
      <c r="M336" s="1792"/>
      <c r="N336" s="1792"/>
      <c r="O336" s="1781" t="s">
        <v>607</v>
      </c>
      <c r="P336" s="1778"/>
      <c r="Q336" s="1778" t="str">
        <f>'Part II-Development Team'!Q118</f>
        <v>Atlanta</v>
      </c>
      <c r="R336" s="1792"/>
      <c r="S336" s="1792"/>
    </row>
    <row r="337" spans="1:19" ht="13.8">
      <c r="A337" s="1778"/>
      <c r="B337" s="1778"/>
      <c r="C337" s="1778"/>
      <c r="D337" s="1806"/>
      <c r="E337" s="1781" t="s">
        <v>1776</v>
      </c>
      <c r="F337" s="1778"/>
      <c r="G337" s="1778"/>
      <c r="H337" s="1781" t="str">
        <f>'Part II-Development Team'!H119</f>
        <v>GA</v>
      </c>
      <c r="I337" s="1779" t="s">
        <v>2201</v>
      </c>
      <c r="J337" s="1797">
        <f>'Part II-Development Team'!J119</f>
        <v>303150000</v>
      </c>
      <c r="K337" s="1792"/>
      <c r="L337" s="1779" t="s">
        <v>1958</v>
      </c>
      <c r="M337" s="1794" t="str">
        <f>'Part II-Development Team'!M119</f>
        <v>katie@fcsministries.org</v>
      </c>
      <c r="N337" s="1794"/>
      <c r="O337" s="1794"/>
      <c r="P337" s="1794"/>
      <c r="Q337" s="1794"/>
      <c r="R337" s="1794"/>
      <c r="S337" s="1794"/>
    </row>
    <row r="338" spans="1:19" ht="13.8">
      <c r="A338" s="1787"/>
      <c r="B338" s="1778" t="s">
        <v>1959</v>
      </c>
      <c r="C338" s="1778" t="s">
        <v>4753</v>
      </c>
      <c r="D338" s="1787"/>
      <c r="E338" s="1787"/>
      <c r="F338" s="1787"/>
      <c r="G338" s="1787"/>
      <c r="H338" s="1777"/>
      <c r="I338" s="1777"/>
      <c r="J338" s="1777"/>
      <c r="K338" s="1777"/>
      <c r="L338" s="1777"/>
      <c r="M338" s="1777"/>
      <c r="N338" s="1777"/>
      <c r="O338" s="1777"/>
      <c r="P338" s="1777"/>
      <c r="Q338" s="1777"/>
      <c r="R338" s="1777"/>
      <c r="S338" s="1777"/>
    </row>
    <row r="339" spans="1:19" ht="13.5" customHeight="1">
      <c r="A339" s="1780" t="s">
        <v>3748</v>
      </c>
      <c r="B339" s="1780"/>
      <c r="C339" s="1780"/>
      <c r="D339" s="1780"/>
      <c r="E339" s="1780"/>
      <c r="F339" s="1802" t="s">
        <v>2477</v>
      </c>
      <c r="G339" s="1831" t="s">
        <v>3411</v>
      </c>
      <c r="H339" s="1831"/>
      <c r="I339" s="1831"/>
      <c r="J339" s="1831"/>
      <c r="K339" s="1831"/>
      <c r="L339" s="1831"/>
      <c r="M339" s="1831"/>
      <c r="N339" s="1831"/>
      <c r="O339" s="1831"/>
      <c r="P339" s="1831"/>
      <c r="Q339" s="1831"/>
      <c r="R339" s="1831"/>
      <c r="S339" s="1831"/>
    </row>
    <row r="340" spans="1:19" ht="13.5" customHeight="1">
      <c r="A340" s="1778"/>
      <c r="B340" s="1835"/>
      <c r="C340" s="1850" t="s">
        <v>1960</v>
      </c>
      <c r="D340" s="1777" t="s">
        <v>2783</v>
      </c>
      <c r="E340" s="1777"/>
      <c r="F340" s="1851" t="str">
        <f>'Part II-Development Team'!F122</f>
        <v>No</v>
      </c>
      <c r="G340" s="1852">
        <f>'Part II-Development Team'!G122</f>
        <v>0</v>
      </c>
      <c r="H340" s="1852">
        <f>'Part II-Development Team'!H122</f>
        <v>0</v>
      </c>
      <c r="I340" s="1852">
        <f>'Part II-Development Team'!I122</f>
        <v>0</v>
      </c>
      <c r="J340" s="1852">
        <f>'Part II-Development Team'!J122</f>
        <v>0</v>
      </c>
      <c r="K340" s="1852">
        <f>'Part II-Development Team'!K122</f>
        <v>0</v>
      </c>
      <c r="L340" s="1852">
        <f>'Part II-Development Team'!L122</f>
        <v>0</v>
      </c>
      <c r="M340" s="1852">
        <f>'Part II-Development Team'!M122</f>
        <v>0</v>
      </c>
      <c r="N340" s="1852">
        <f>'Part II-Development Team'!N122</f>
        <v>0</v>
      </c>
      <c r="O340" s="1852">
        <f>'Part II-Development Team'!O122</f>
        <v>0</v>
      </c>
      <c r="P340" s="1852">
        <f>'Part II-Development Team'!P122</f>
        <v>0</v>
      </c>
      <c r="Q340" s="1852">
        <f>'Part II-Development Team'!Q122</f>
        <v>0</v>
      </c>
      <c r="R340" s="1852">
        <f>'Part II-Development Team'!R122</f>
        <v>0</v>
      </c>
      <c r="S340" s="1852">
        <f>'Part II-Development Team'!S122</f>
        <v>0</v>
      </c>
    </row>
    <row r="341" spans="1:19" ht="13.5" customHeight="1">
      <c r="A341" s="1778"/>
      <c r="B341" s="1835"/>
      <c r="C341" s="1850" t="s">
        <v>1962</v>
      </c>
      <c r="D341" s="1777" t="s">
        <v>2845</v>
      </c>
      <c r="E341" s="1777"/>
      <c r="F341" s="1851" t="str">
        <f>'Part II-Development Team'!F123</f>
        <v>Yes</v>
      </c>
      <c r="G341" s="1852" t="str">
        <f>'Part II-Development Team'!G123</f>
        <v>FCS Urban Ministries is the land seller and a member of the General Partnership. They are also serving as co-developer and will receive 25% of the developer fee. An appraisal has been included due to the identity of interest. FCS is also a member of the Managing Member (Haven SA MM LLC)</v>
      </c>
      <c r="H341" s="1852">
        <f>'Part II-Development Team'!H123</f>
        <v>0</v>
      </c>
      <c r="I341" s="1852">
        <f>'Part II-Development Team'!I123</f>
        <v>0</v>
      </c>
      <c r="J341" s="1852">
        <f>'Part II-Development Team'!J123</f>
        <v>0</v>
      </c>
      <c r="K341" s="1852">
        <f>'Part II-Development Team'!K123</f>
        <v>0</v>
      </c>
      <c r="L341" s="1852">
        <f>'Part II-Development Team'!L123</f>
        <v>0</v>
      </c>
      <c r="M341" s="1852">
        <f>'Part II-Development Team'!M123</f>
        <v>0</v>
      </c>
      <c r="N341" s="1852">
        <f>'Part II-Development Team'!N123</f>
        <v>0</v>
      </c>
      <c r="O341" s="1852">
        <f>'Part II-Development Team'!O123</f>
        <v>0</v>
      </c>
      <c r="P341" s="1852">
        <f>'Part II-Development Team'!P123</f>
        <v>0</v>
      </c>
      <c r="Q341" s="1852">
        <f>'Part II-Development Team'!Q123</f>
        <v>0</v>
      </c>
      <c r="R341" s="1852">
        <f>'Part II-Development Team'!R123</f>
        <v>0</v>
      </c>
      <c r="S341" s="1852">
        <f>'Part II-Development Team'!S123</f>
        <v>0</v>
      </c>
    </row>
    <row r="342" spans="1:19" ht="13.5" customHeight="1">
      <c r="A342" s="1778"/>
      <c r="B342" s="1835"/>
      <c r="C342" s="1850" t="s">
        <v>2501</v>
      </c>
      <c r="D342" s="1777" t="s">
        <v>2823</v>
      </c>
      <c r="E342" s="1777"/>
      <c r="F342" s="1851" t="str">
        <f>'Part II-Development Team'!F124</f>
        <v>No</v>
      </c>
      <c r="G342" s="1852">
        <f>'Part II-Development Team'!G124</f>
        <v>0</v>
      </c>
      <c r="H342" s="1852">
        <f>'Part II-Development Team'!H124</f>
        <v>0</v>
      </c>
      <c r="I342" s="1852">
        <f>'Part II-Development Team'!I124</f>
        <v>0</v>
      </c>
      <c r="J342" s="1852">
        <f>'Part II-Development Team'!J124</f>
        <v>0</v>
      </c>
      <c r="K342" s="1852">
        <f>'Part II-Development Team'!K124</f>
        <v>0</v>
      </c>
      <c r="L342" s="1852">
        <f>'Part II-Development Team'!L124</f>
        <v>0</v>
      </c>
      <c r="M342" s="1852">
        <f>'Part II-Development Team'!M124</f>
        <v>0</v>
      </c>
      <c r="N342" s="1852">
        <f>'Part II-Development Team'!N124</f>
        <v>0</v>
      </c>
      <c r="O342" s="1852">
        <f>'Part II-Development Team'!O124</f>
        <v>0</v>
      </c>
      <c r="P342" s="1852">
        <f>'Part II-Development Team'!P124</f>
        <v>0</v>
      </c>
      <c r="Q342" s="1852">
        <f>'Part II-Development Team'!Q124</f>
        <v>0</v>
      </c>
      <c r="R342" s="1852">
        <f>'Part II-Development Team'!R124</f>
        <v>0</v>
      </c>
      <c r="S342" s="1852">
        <f>'Part II-Development Team'!S124</f>
        <v>0</v>
      </c>
    </row>
    <row r="343" spans="1:19" ht="13.5" customHeight="1">
      <c r="A343" s="1778"/>
      <c r="B343" s="1835"/>
      <c r="C343" s="1850" t="s">
        <v>1209</v>
      </c>
      <c r="D343" s="1777" t="s">
        <v>2784</v>
      </c>
      <c r="E343" s="1777"/>
      <c r="F343" s="1851" t="str">
        <f>'Part II-Development Team'!F125</f>
        <v>No</v>
      </c>
      <c r="G343" s="1852">
        <f>'Part II-Development Team'!G125</f>
        <v>0</v>
      </c>
      <c r="H343" s="1852">
        <f>'Part II-Development Team'!H125</f>
        <v>0</v>
      </c>
      <c r="I343" s="1852">
        <f>'Part II-Development Team'!I125</f>
        <v>0</v>
      </c>
      <c r="J343" s="1852">
        <f>'Part II-Development Team'!J125</f>
        <v>0</v>
      </c>
      <c r="K343" s="1852">
        <f>'Part II-Development Team'!K125</f>
        <v>0</v>
      </c>
      <c r="L343" s="1852">
        <f>'Part II-Development Team'!L125</f>
        <v>0</v>
      </c>
      <c r="M343" s="1852">
        <f>'Part II-Development Team'!M125</f>
        <v>0</v>
      </c>
      <c r="N343" s="1852">
        <f>'Part II-Development Team'!N125</f>
        <v>0</v>
      </c>
      <c r="O343" s="1852">
        <f>'Part II-Development Team'!O125</f>
        <v>0</v>
      </c>
      <c r="P343" s="1852">
        <f>'Part II-Development Team'!P125</f>
        <v>0</v>
      </c>
      <c r="Q343" s="1852">
        <f>'Part II-Development Team'!Q125</f>
        <v>0</v>
      </c>
      <c r="R343" s="1852">
        <f>'Part II-Development Team'!R125</f>
        <v>0</v>
      </c>
      <c r="S343" s="1852">
        <f>'Part II-Development Team'!S125</f>
        <v>0</v>
      </c>
    </row>
    <row r="344" spans="1:19" ht="13.5" customHeight="1">
      <c r="A344" s="1778"/>
      <c r="B344" s="1835"/>
      <c r="C344" s="1850" t="s">
        <v>1210</v>
      </c>
      <c r="D344" s="1777" t="s">
        <v>3399</v>
      </c>
      <c r="E344" s="1777"/>
      <c r="F344" s="1851" t="str">
        <f>'Part II-Development Team'!F126</f>
        <v>No</v>
      </c>
      <c r="G344" s="1852">
        <f>'Part II-Development Team'!G126</f>
        <v>0</v>
      </c>
      <c r="H344" s="1852">
        <f>'Part II-Development Team'!H126</f>
        <v>0</v>
      </c>
      <c r="I344" s="1852">
        <f>'Part II-Development Team'!I126</f>
        <v>0</v>
      </c>
      <c r="J344" s="1852">
        <f>'Part II-Development Team'!J126</f>
        <v>0</v>
      </c>
      <c r="K344" s="1852">
        <f>'Part II-Development Team'!K126</f>
        <v>0</v>
      </c>
      <c r="L344" s="1852">
        <f>'Part II-Development Team'!L126</f>
        <v>0</v>
      </c>
      <c r="M344" s="1852">
        <f>'Part II-Development Team'!M126</f>
        <v>0</v>
      </c>
      <c r="N344" s="1852">
        <f>'Part II-Development Team'!N126</f>
        <v>0</v>
      </c>
      <c r="O344" s="1852">
        <f>'Part II-Development Team'!O126</f>
        <v>0</v>
      </c>
      <c r="P344" s="1852">
        <f>'Part II-Development Team'!P126</f>
        <v>0</v>
      </c>
      <c r="Q344" s="1852">
        <f>'Part II-Development Team'!Q126</f>
        <v>0</v>
      </c>
      <c r="R344" s="1852">
        <f>'Part II-Development Team'!R126</f>
        <v>0</v>
      </c>
      <c r="S344" s="1852">
        <f>'Part II-Development Team'!S126</f>
        <v>0</v>
      </c>
    </row>
    <row r="345" spans="1:19" ht="13.5" customHeight="1">
      <c r="A345" s="1778"/>
      <c r="B345" s="1835"/>
      <c r="C345" s="1850" t="s">
        <v>1855</v>
      </c>
      <c r="D345" s="1777" t="s">
        <v>3400</v>
      </c>
      <c r="E345" s="1777"/>
      <c r="F345" s="1851" t="str">
        <f>'Part II-Development Team'!F127</f>
        <v>No</v>
      </c>
      <c r="G345" s="1852">
        <f>'Part II-Development Team'!G127</f>
        <v>0</v>
      </c>
      <c r="H345" s="1852">
        <f>'Part II-Development Team'!H127</f>
        <v>0</v>
      </c>
      <c r="I345" s="1852">
        <f>'Part II-Development Team'!I127</f>
        <v>0</v>
      </c>
      <c r="J345" s="1852">
        <f>'Part II-Development Team'!J127</f>
        <v>0</v>
      </c>
      <c r="K345" s="1852">
        <f>'Part II-Development Team'!K127</f>
        <v>0</v>
      </c>
      <c r="L345" s="1852">
        <f>'Part II-Development Team'!L127</f>
        <v>0</v>
      </c>
      <c r="M345" s="1852">
        <f>'Part II-Development Team'!M127</f>
        <v>0</v>
      </c>
      <c r="N345" s="1852">
        <f>'Part II-Development Team'!N127</f>
        <v>0</v>
      </c>
      <c r="O345" s="1852">
        <f>'Part II-Development Team'!O127</f>
        <v>0</v>
      </c>
      <c r="P345" s="1852">
        <f>'Part II-Development Team'!P127</f>
        <v>0</v>
      </c>
      <c r="Q345" s="1852">
        <f>'Part II-Development Team'!Q127</f>
        <v>0</v>
      </c>
      <c r="R345" s="1852">
        <f>'Part II-Development Team'!R127</f>
        <v>0</v>
      </c>
      <c r="S345" s="1852">
        <f>'Part II-Development Team'!S127</f>
        <v>0</v>
      </c>
    </row>
    <row r="346" spans="1:19" ht="13.5" customHeight="1">
      <c r="A346" s="1778"/>
      <c r="B346" s="1835"/>
      <c r="C346" s="1850" t="s">
        <v>498</v>
      </c>
      <c r="D346" s="1777" t="s">
        <v>2785</v>
      </c>
      <c r="E346" s="1777"/>
      <c r="F346" s="1851" t="str">
        <f>'Part II-Development Team'!F128</f>
        <v>No</v>
      </c>
      <c r="G346" s="1852">
        <f>'Part II-Development Team'!G128</f>
        <v>0</v>
      </c>
      <c r="H346" s="1852">
        <f>'Part II-Development Team'!H128</f>
        <v>0</v>
      </c>
      <c r="I346" s="1852">
        <f>'Part II-Development Team'!I128</f>
        <v>0</v>
      </c>
      <c r="J346" s="1852">
        <f>'Part II-Development Team'!J128</f>
        <v>0</v>
      </c>
      <c r="K346" s="1852">
        <f>'Part II-Development Team'!K128</f>
        <v>0</v>
      </c>
      <c r="L346" s="1852">
        <f>'Part II-Development Team'!L128</f>
        <v>0</v>
      </c>
      <c r="M346" s="1852">
        <f>'Part II-Development Team'!M128</f>
        <v>0</v>
      </c>
      <c r="N346" s="1852">
        <f>'Part II-Development Team'!N128</f>
        <v>0</v>
      </c>
      <c r="O346" s="1852">
        <f>'Part II-Development Team'!O128</f>
        <v>0</v>
      </c>
      <c r="P346" s="1852">
        <f>'Part II-Development Team'!P128</f>
        <v>0</v>
      </c>
      <c r="Q346" s="1852">
        <f>'Part II-Development Team'!Q128</f>
        <v>0</v>
      </c>
      <c r="R346" s="1852">
        <f>'Part II-Development Team'!R128</f>
        <v>0</v>
      </c>
      <c r="S346" s="1852">
        <f>'Part II-Development Team'!S128</f>
        <v>0</v>
      </c>
    </row>
    <row r="347" spans="1:19" ht="13.5" customHeight="1">
      <c r="A347" s="1778"/>
      <c r="B347" s="1835"/>
      <c r="C347" s="1850" t="s">
        <v>499</v>
      </c>
      <c r="D347" s="1777" t="s">
        <v>4698</v>
      </c>
      <c r="E347" s="1777"/>
      <c r="F347" s="1851" t="str">
        <f>'Part II-Development Team'!F129</f>
        <v>No</v>
      </c>
      <c r="G347" s="1852">
        <f>'Part II-Development Team'!G129</f>
        <v>0</v>
      </c>
      <c r="H347" s="1852">
        <f>'Part II-Development Team'!H129</f>
        <v>0</v>
      </c>
      <c r="I347" s="1852">
        <f>'Part II-Development Team'!I129</f>
        <v>0</v>
      </c>
      <c r="J347" s="1852">
        <f>'Part II-Development Team'!J129</f>
        <v>0</v>
      </c>
      <c r="K347" s="1852">
        <f>'Part II-Development Team'!K129</f>
        <v>0</v>
      </c>
      <c r="L347" s="1852">
        <f>'Part II-Development Team'!L129</f>
        <v>0</v>
      </c>
      <c r="M347" s="1852">
        <f>'Part II-Development Team'!M129</f>
        <v>0</v>
      </c>
      <c r="N347" s="1852">
        <f>'Part II-Development Team'!N129</f>
        <v>0</v>
      </c>
      <c r="O347" s="1852">
        <f>'Part II-Development Team'!O129</f>
        <v>0</v>
      </c>
      <c r="P347" s="1852">
        <f>'Part II-Development Team'!P129</f>
        <v>0</v>
      </c>
      <c r="Q347" s="1852">
        <f>'Part II-Development Team'!Q129</f>
        <v>0</v>
      </c>
      <c r="R347" s="1852">
        <f>'Part II-Development Team'!R129</f>
        <v>0</v>
      </c>
      <c r="S347" s="1852">
        <f>'Part II-Development Team'!S129</f>
        <v>0</v>
      </c>
    </row>
    <row r="348" spans="1:19" ht="13.5" customHeight="1">
      <c r="A348" s="1778"/>
      <c r="B348" s="1835"/>
      <c r="C348" s="1850" t="s">
        <v>4697</v>
      </c>
      <c r="D348" s="1777" t="str">
        <f>'Part II-Development Team'!D130</f>
        <v>Other (Owner, GP, Developer)</v>
      </c>
      <c r="E348" s="1777">
        <f>'Part II-Development Team'!E130</f>
        <v>0</v>
      </c>
      <c r="F348" s="1851" t="str">
        <f>'Part II-Development Team'!F130</f>
        <v>Yes</v>
      </c>
      <c r="G348" s="1852" t="str">
        <f>'Part II-Development Team'!G130</f>
        <v xml:space="preserve">Pennrose Holdings LLC is the managing member of the Managing General Partner, HA SA MM LLC. Pennrose LLC is the developer of the redevelopment effort. Mark Dambly, Richard Barnhart, Timothy Henkel, and Hunt PR holdings are all principals of Pennrose Holdings LLC and Pennrose LLC. </v>
      </c>
      <c r="H348" s="1852">
        <f>'Part II-Development Team'!H130</f>
        <v>0</v>
      </c>
      <c r="I348" s="1852">
        <f>'Part II-Development Team'!I130</f>
        <v>0</v>
      </c>
      <c r="J348" s="1852">
        <f>'Part II-Development Team'!J130</f>
        <v>0</v>
      </c>
      <c r="K348" s="1852">
        <f>'Part II-Development Team'!K130</f>
        <v>0</v>
      </c>
      <c r="L348" s="1852">
        <f>'Part II-Development Team'!L130</f>
        <v>0</v>
      </c>
      <c r="M348" s="1852">
        <f>'Part II-Development Team'!M130</f>
        <v>0</v>
      </c>
      <c r="N348" s="1852">
        <f>'Part II-Development Team'!N130</f>
        <v>0</v>
      </c>
      <c r="O348" s="1852">
        <f>'Part II-Development Team'!O130</f>
        <v>0</v>
      </c>
      <c r="P348" s="1852">
        <f>'Part II-Development Team'!P130</f>
        <v>0</v>
      </c>
      <c r="Q348" s="1852">
        <f>'Part II-Development Team'!Q130</f>
        <v>0</v>
      </c>
      <c r="R348" s="1852">
        <f>'Part II-Development Team'!R130</f>
        <v>0</v>
      </c>
      <c r="S348" s="1852">
        <f>'Part II-Development Team'!S130</f>
        <v>0</v>
      </c>
    </row>
    <row r="349" spans="1:19" ht="13.8">
      <c r="A349" s="1778" t="s">
        <v>1772</v>
      </c>
      <c r="B349" s="1778" t="s">
        <v>5026</v>
      </c>
      <c r="C349" s="1778"/>
      <c r="D349" s="1778"/>
      <c r="E349" s="1778"/>
      <c r="F349" s="1778"/>
      <c r="G349" s="1779"/>
      <c r="H349" s="1779"/>
      <c r="I349" s="1779"/>
      <c r="J349" s="1779"/>
      <c r="K349" s="1779"/>
      <c r="L349" s="1779"/>
      <c r="M349" s="1779"/>
      <c r="N349" s="1779"/>
      <c r="O349" s="1779"/>
      <c r="P349" s="1779"/>
      <c r="Q349" s="1779"/>
      <c r="R349" s="1778"/>
      <c r="S349" s="1778"/>
    </row>
    <row r="350" spans="1:19" ht="13.8">
      <c r="A350" s="1778"/>
      <c r="B350" s="1778"/>
      <c r="C350" s="1778"/>
      <c r="D350" s="1778"/>
      <c r="E350" s="1778"/>
      <c r="F350" s="1778"/>
      <c r="G350" s="1779"/>
      <c r="H350" s="1779"/>
      <c r="I350" s="1779"/>
      <c r="J350" s="1779"/>
      <c r="K350" s="1779"/>
      <c r="L350" s="1779"/>
      <c r="M350" s="1779"/>
      <c r="N350" s="1779"/>
      <c r="O350" s="1779"/>
      <c r="P350" s="1779"/>
      <c r="Q350" s="1779"/>
      <c r="R350" s="1778"/>
      <c r="S350" s="1778"/>
    </row>
    <row r="351" spans="1:19" ht="13.8">
      <c r="A351" s="1787"/>
      <c r="B351" s="1778" t="s">
        <v>738</v>
      </c>
      <c r="C351" s="1778" t="s">
        <v>4754</v>
      </c>
      <c r="D351" s="1787"/>
      <c r="E351" s="1787"/>
      <c r="F351" s="1787"/>
      <c r="G351" s="1787"/>
      <c r="H351" s="1787"/>
      <c r="I351" s="1787"/>
      <c r="J351" s="1787"/>
      <c r="K351" s="1787"/>
      <c r="L351" s="1787"/>
      <c r="M351" s="1787"/>
      <c r="N351" s="1787"/>
      <c r="O351" s="1787"/>
      <c r="P351" s="1787"/>
      <c r="Q351" s="1787"/>
      <c r="R351" s="1787"/>
      <c r="S351" s="1787"/>
    </row>
    <row r="352" spans="1:19" ht="12.75" customHeight="1">
      <c r="A352" s="1777" t="s">
        <v>629</v>
      </c>
      <c r="B352" s="1777"/>
      <c r="C352" s="1777"/>
      <c r="D352" s="1777"/>
      <c r="E352" s="1777" t="s">
        <v>3383</v>
      </c>
      <c r="F352" s="1777"/>
      <c r="G352" s="1777"/>
      <c r="H352" s="1777"/>
      <c r="I352" s="1777"/>
      <c r="J352" s="1777" t="s">
        <v>3384</v>
      </c>
      <c r="K352" s="1777" t="s">
        <v>4763</v>
      </c>
      <c r="L352" s="1777" t="s">
        <v>4764</v>
      </c>
      <c r="M352" s="1777" t="s">
        <v>4765</v>
      </c>
      <c r="N352" s="1777"/>
      <c r="O352" s="1777"/>
      <c r="P352" s="1777"/>
      <c r="Q352" s="1777"/>
      <c r="R352" s="1777"/>
      <c r="S352" s="1777"/>
    </row>
    <row r="353" spans="1:19" ht="13.8">
      <c r="A353" s="1777"/>
      <c r="B353" s="1777"/>
      <c r="C353" s="1777"/>
      <c r="D353" s="1777"/>
      <c r="E353" s="1777"/>
      <c r="F353" s="1777"/>
      <c r="G353" s="1777"/>
      <c r="H353" s="1777"/>
      <c r="I353" s="1777"/>
      <c r="J353" s="1777"/>
      <c r="K353" s="1777"/>
      <c r="L353" s="1777"/>
      <c r="M353" s="1777"/>
      <c r="N353" s="1777"/>
      <c r="O353" s="1777"/>
      <c r="P353" s="1777"/>
      <c r="Q353" s="1777"/>
      <c r="R353" s="1777"/>
      <c r="S353" s="1777"/>
    </row>
    <row r="354" spans="1:19" ht="13.8">
      <c r="A354" s="1777"/>
      <c r="B354" s="1777"/>
      <c r="C354" s="1777"/>
      <c r="D354" s="1777"/>
      <c r="E354" s="1777"/>
      <c r="F354" s="1777"/>
      <c r="G354" s="1777"/>
      <c r="H354" s="1777"/>
      <c r="I354" s="1777"/>
      <c r="J354" s="1777"/>
      <c r="K354" s="1777"/>
      <c r="L354" s="1777"/>
      <c r="M354" s="1777"/>
      <c r="N354" s="1777"/>
      <c r="O354" s="1777"/>
      <c r="P354" s="1777"/>
      <c r="Q354" s="1777"/>
      <c r="R354" s="1777"/>
      <c r="S354" s="1777"/>
    </row>
    <row r="355" spans="1:19" ht="12.75" customHeight="1">
      <c r="A355" s="1777"/>
      <c r="B355" s="1777"/>
      <c r="C355" s="1777"/>
      <c r="D355" s="1777"/>
      <c r="E355" s="1853" t="s">
        <v>5027</v>
      </c>
      <c r="F355" s="1853"/>
      <c r="G355" s="1853"/>
      <c r="H355" s="1853"/>
      <c r="I355" s="1777"/>
      <c r="J355" s="1777"/>
      <c r="K355" s="1777"/>
      <c r="L355" s="1777"/>
      <c r="M355" s="1777"/>
      <c r="N355" s="1777"/>
      <c r="O355" s="1777"/>
      <c r="P355" s="1777"/>
      <c r="Q355" s="1777"/>
      <c r="R355" s="1777"/>
      <c r="S355" s="1777"/>
    </row>
    <row r="356" spans="1:19" ht="12.75" customHeight="1">
      <c r="A356" s="1777"/>
      <c r="B356" s="1777"/>
      <c r="C356" s="1777"/>
      <c r="D356" s="1777"/>
      <c r="E356" s="1853"/>
      <c r="F356" s="1853"/>
      <c r="G356" s="1853"/>
      <c r="H356" s="1853"/>
      <c r="I356" s="1854" t="s">
        <v>2477</v>
      </c>
      <c r="J356" s="1777"/>
      <c r="K356" s="1777"/>
      <c r="L356" s="1777"/>
      <c r="M356" s="1802" t="s">
        <v>2477</v>
      </c>
      <c r="N356" s="1792" t="s">
        <v>2850</v>
      </c>
      <c r="O356" s="1792"/>
      <c r="P356" s="1792"/>
      <c r="Q356" s="1792"/>
      <c r="R356" s="1792"/>
      <c r="S356" s="1792"/>
    </row>
    <row r="357" spans="1:19" ht="13.5" customHeight="1">
      <c r="A357" s="1844" t="s">
        <v>3378</v>
      </c>
      <c r="B357" s="1844"/>
      <c r="C357" s="1844"/>
      <c r="D357" s="1844"/>
      <c r="E357" s="1852">
        <f>'Part II-Development Team'!E139</f>
        <v>0</v>
      </c>
      <c r="F357" s="1852">
        <f>'Part II-Development Team'!F139</f>
        <v>0</v>
      </c>
      <c r="G357" s="1852">
        <f>'Part II-Development Team'!G139</f>
        <v>0</v>
      </c>
      <c r="H357" s="1852">
        <f>'Part II-Development Team'!H139</f>
        <v>0</v>
      </c>
      <c r="I357" s="1851" t="str">
        <f>'Part II-Development Team'!I139</f>
        <v>No</v>
      </c>
      <c r="J357" s="1851" t="str">
        <f>'Part II-Development Team'!J139</f>
        <v>No</v>
      </c>
      <c r="K357" s="1855" t="str">
        <f>'Part II-Development Team'!K139</f>
        <v>For Profit</v>
      </c>
      <c r="L357" s="1856">
        <f>'Part II-Development Team'!L139</f>
        <v>1E-4</v>
      </c>
      <c r="M357" s="1851" t="str">
        <f>'Part II-Development Team'!M139</f>
        <v>No</v>
      </c>
      <c r="N357" s="1852">
        <f>'Part II-Development Team'!N139</f>
        <v>0</v>
      </c>
      <c r="O357" s="1852">
        <f>'Part II-Development Team'!O139</f>
        <v>0</v>
      </c>
      <c r="P357" s="1852">
        <f>'Part II-Development Team'!P139</f>
        <v>0</v>
      </c>
      <c r="Q357" s="1852">
        <f>'Part II-Development Team'!Q139</f>
        <v>0</v>
      </c>
      <c r="R357" s="1852">
        <f>'Part II-Development Team'!R139</f>
        <v>0</v>
      </c>
      <c r="S357" s="1852">
        <f>'Part II-Development Team'!S139</f>
        <v>0</v>
      </c>
    </row>
    <row r="358" spans="1:19" ht="13.5" customHeight="1">
      <c r="A358" s="1844" t="s">
        <v>3379</v>
      </c>
      <c r="B358" s="1844"/>
      <c r="C358" s="1844"/>
      <c r="D358" s="1844"/>
      <c r="E358" s="1852">
        <f>'Part II-Development Team'!E140</f>
        <v>0</v>
      </c>
      <c r="F358" s="1852">
        <f>'Part II-Development Team'!F140</f>
        <v>0</v>
      </c>
      <c r="G358" s="1852">
        <f>'Part II-Development Team'!G140</f>
        <v>0</v>
      </c>
      <c r="H358" s="1852">
        <f>'Part II-Development Team'!H140</f>
        <v>0</v>
      </c>
      <c r="I358" s="1851">
        <f>'Part II-Development Team'!I140</f>
        <v>0</v>
      </c>
      <c r="J358" s="1851">
        <f>'Part II-Development Team'!J140</f>
        <v>0</v>
      </c>
      <c r="K358" s="1855">
        <f>'Part II-Development Team'!K140</f>
        <v>0</v>
      </c>
      <c r="L358" s="1856">
        <f>'Part II-Development Team'!L140</f>
        <v>0</v>
      </c>
      <c r="M358" s="1851">
        <f>'Part II-Development Team'!M140</f>
        <v>0</v>
      </c>
      <c r="N358" s="1852">
        <f>'Part II-Development Team'!N140</f>
        <v>0</v>
      </c>
      <c r="O358" s="1852">
        <f>'Part II-Development Team'!O140</f>
        <v>0</v>
      </c>
      <c r="P358" s="1852">
        <f>'Part II-Development Team'!P140</f>
        <v>0</v>
      </c>
      <c r="Q358" s="1852">
        <f>'Part II-Development Team'!Q140</f>
        <v>0</v>
      </c>
      <c r="R358" s="1852">
        <f>'Part II-Development Team'!R140</f>
        <v>0</v>
      </c>
      <c r="S358" s="1852">
        <f>'Part II-Development Team'!S140</f>
        <v>0</v>
      </c>
    </row>
    <row r="359" spans="1:19" ht="13.5" customHeight="1">
      <c r="A359" s="1844" t="s">
        <v>3380</v>
      </c>
      <c r="B359" s="1844"/>
      <c r="C359" s="1844"/>
      <c r="D359" s="1844"/>
      <c r="E359" s="1852">
        <f>'Part II-Development Team'!E141</f>
        <v>0</v>
      </c>
      <c r="F359" s="1852">
        <f>'Part II-Development Team'!F141</f>
        <v>0</v>
      </c>
      <c r="G359" s="1852">
        <f>'Part II-Development Team'!G141</f>
        <v>0</v>
      </c>
      <c r="H359" s="1852">
        <f>'Part II-Development Team'!H141</f>
        <v>0</v>
      </c>
      <c r="I359" s="1851">
        <f>'Part II-Development Team'!I141</f>
        <v>0</v>
      </c>
      <c r="J359" s="1851">
        <f>'Part II-Development Team'!J141</f>
        <v>0</v>
      </c>
      <c r="K359" s="1855">
        <f>'Part II-Development Team'!K141</f>
        <v>0</v>
      </c>
      <c r="L359" s="1856">
        <f>'Part II-Development Team'!L141</f>
        <v>0</v>
      </c>
      <c r="M359" s="1851">
        <f>'Part II-Development Team'!M141</f>
        <v>0</v>
      </c>
      <c r="N359" s="1852">
        <f>'Part II-Development Team'!N141</f>
        <v>0</v>
      </c>
      <c r="O359" s="1852">
        <f>'Part II-Development Team'!O141</f>
        <v>0</v>
      </c>
      <c r="P359" s="1852">
        <f>'Part II-Development Team'!P141</f>
        <v>0</v>
      </c>
      <c r="Q359" s="1852">
        <f>'Part II-Development Team'!Q141</f>
        <v>0</v>
      </c>
      <c r="R359" s="1852">
        <f>'Part II-Development Team'!R141</f>
        <v>0</v>
      </c>
      <c r="S359" s="1852">
        <f>'Part II-Development Team'!S141</f>
        <v>0</v>
      </c>
    </row>
    <row r="360" spans="1:19" ht="13.5" customHeight="1">
      <c r="A360" s="1844" t="s">
        <v>3381</v>
      </c>
      <c r="B360" s="1844"/>
      <c r="C360" s="1844"/>
      <c r="D360" s="1844"/>
      <c r="E360" s="1852">
        <f>'Part II-Development Team'!E142</f>
        <v>0</v>
      </c>
      <c r="F360" s="1852">
        <f>'Part II-Development Team'!F142</f>
        <v>0</v>
      </c>
      <c r="G360" s="1852">
        <f>'Part II-Development Team'!G142</f>
        <v>0</v>
      </c>
      <c r="H360" s="1852">
        <f>'Part II-Development Team'!H142</f>
        <v>0</v>
      </c>
      <c r="I360" s="1851" t="str">
        <f>'Part II-Development Team'!I142</f>
        <v>No</v>
      </c>
      <c r="J360" s="1851" t="str">
        <f>'Part II-Development Team'!J142</f>
        <v>No</v>
      </c>
      <c r="K360" s="1855" t="str">
        <f>'Part II-Development Team'!K142</f>
        <v>For Profit</v>
      </c>
      <c r="L360" s="1856">
        <f>'Part II-Development Team'!L142</f>
        <v>0.9899</v>
      </c>
      <c r="M360" s="1851" t="str">
        <f>'Part II-Development Team'!M142</f>
        <v>No</v>
      </c>
      <c r="N360" s="1852">
        <f>'Part II-Development Team'!N142</f>
        <v>0</v>
      </c>
      <c r="O360" s="1852">
        <f>'Part II-Development Team'!O142</f>
        <v>0</v>
      </c>
      <c r="P360" s="1852">
        <f>'Part II-Development Team'!P142</f>
        <v>0</v>
      </c>
      <c r="Q360" s="1852">
        <f>'Part II-Development Team'!Q142</f>
        <v>0</v>
      </c>
      <c r="R360" s="1852">
        <f>'Part II-Development Team'!R142</f>
        <v>0</v>
      </c>
      <c r="S360" s="1852">
        <f>'Part II-Development Team'!S142</f>
        <v>0</v>
      </c>
    </row>
    <row r="361" spans="1:19" ht="13.5" customHeight="1">
      <c r="A361" s="1844" t="s">
        <v>3382</v>
      </c>
      <c r="B361" s="1844"/>
      <c r="C361" s="1844"/>
      <c r="D361" s="1844"/>
      <c r="E361" s="1852">
        <f>'Part II-Development Team'!E143</f>
        <v>0</v>
      </c>
      <c r="F361" s="1852">
        <f>'Part II-Development Team'!F143</f>
        <v>0</v>
      </c>
      <c r="G361" s="1852">
        <f>'Part II-Development Team'!G143</f>
        <v>0</v>
      </c>
      <c r="H361" s="1852">
        <f>'Part II-Development Team'!H143</f>
        <v>0</v>
      </c>
      <c r="I361" s="1851" t="str">
        <f>'Part II-Development Team'!I143</f>
        <v>No</v>
      </c>
      <c r="J361" s="1851" t="str">
        <f>'Part II-Development Team'!J143</f>
        <v>No</v>
      </c>
      <c r="K361" s="1855" t="str">
        <f>'Part II-Development Team'!K143</f>
        <v>For Profit</v>
      </c>
      <c r="L361" s="1856">
        <f>'Part II-Development Team'!L143</f>
        <v>0.01</v>
      </c>
      <c r="M361" s="1851" t="str">
        <f>'Part II-Development Team'!M143</f>
        <v>No</v>
      </c>
      <c r="N361" s="1852">
        <f>'Part II-Development Team'!N143</f>
        <v>0</v>
      </c>
      <c r="O361" s="1852">
        <f>'Part II-Development Team'!O143</f>
        <v>0</v>
      </c>
      <c r="P361" s="1852">
        <f>'Part II-Development Team'!P143</f>
        <v>0</v>
      </c>
      <c r="Q361" s="1852">
        <f>'Part II-Development Team'!Q143</f>
        <v>0</v>
      </c>
      <c r="R361" s="1852">
        <f>'Part II-Development Team'!R143</f>
        <v>0</v>
      </c>
      <c r="S361" s="1852">
        <f>'Part II-Development Team'!S143</f>
        <v>0</v>
      </c>
    </row>
    <row r="362" spans="1:19" ht="13.5" customHeight="1">
      <c r="A362" s="1844" t="s">
        <v>2838</v>
      </c>
      <c r="B362" s="1844"/>
      <c r="C362" s="1844"/>
      <c r="D362" s="1844"/>
      <c r="E362" s="1852">
        <f>'Part II-Development Team'!E144</f>
        <v>0</v>
      </c>
      <c r="F362" s="1852">
        <f>'Part II-Development Team'!F144</f>
        <v>0</v>
      </c>
      <c r="G362" s="1852">
        <f>'Part II-Development Team'!G144</f>
        <v>0</v>
      </c>
      <c r="H362" s="1852">
        <f>'Part II-Development Team'!H144</f>
        <v>0</v>
      </c>
      <c r="I362" s="1851">
        <f>'Part II-Development Team'!I144</f>
        <v>0</v>
      </c>
      <c r="J362" s="1851">
        <f>'Part II-Development Team'!J144</f>
        <v>0</v>
      </c>
      <c r="K362" s="1855">
        <f>'Part II-Development Team'!K144</f>
        <v>0</v>
      </c>
      <c r="L362" s="1856">
        <f>'Part II-Development Team'!L144</f>
        <v>0</v>
      </c>
      <c r="M362" s="1851">
        <f>'Part II-Development Team'!M144</f>
        <v>0</v>
      </c>
      <c r="N362" s="1852">
        <f>'Part II-Development Team'!N144</f>
        <v>0</v>
      </c>
      <c r="O362" s="1852">
        <f>'Part II-Development Team'!O144</f>
        <v>0</v>
      </c>
      <c r="P362" s="1852">
        <f>'Part II-Development Team'!P144</f>
        <v>0</v>
      </c>
      <c r="Q362" s="1852">
        <f>'Part II-Development Team'!Q144</f>
        <v>0</v>
      </c>
      <c r="R362" s="1852">
        <f>'Part II-Development Team'!R144</f>
        <v>0</v>
      </c>
      <c r="S362" s="1852">
        <f>'Part II-Development Team'!S144</f>
        <v>0</v>
      </c>
    </row>
    <row r="363" spans="1:19" ht="13.8">
      <c r="A363" s="1844" t="s">
        <v>642</v>
      </c>
      <c r="B363" s="1844"/>
      <c r="C363" s="1844"/>
      <c r="D363" s="1844"/>
      <c r="E363" s="1852">
        <f>'Part II-Development Team'!E145</f>
        <v>0</v>
      </c>
      <c r="F363" s="1852">
        <f>'Part II-Development Team'!F145</f>
        <v>0</v>
      </c>
      <c r="G363" s="1852">
        <f>'Part II-Development Team'!G145</f>
        <v>0</v>
      </c>
      <c r="H363" s="1852">
        <f>'Part II-Development Team'!H145</f>
        <v>0</v>
      </c>
      <c r="I363" s="1851" t="str">
        <f>'Part II-Development Team'!I145</f>
        <v>No</v>
      </c>
      <c r="J363" s="1851" t="str">
        <f>'Part II-Development Team'!J145</f>
        <v>No</v>
      </c>
      <c r="K363" s="1855" t="str">
        <f>'Part II-Development Team'!K145</f>
        <v>For Profit</v>
      </c>
      <c r="L363" s="1856">
        <f>'Part II-Development Team'!L145</f>
        <v>0</v>
      </c>
      <c r="M363" s="1851" t="str">
        <f>'Part II-Development Team'!M145</f>
        <v>No</v>
      </c>
      <c r="N363" s="1852">
        <f>'Part II-Development Team'!N145</f>
        <v>0</v>
      </c>
      <c r="O363" s="1852">
        <f>'Part II-Development Team'!O145</f>
        <v>0</v>
      </c>
      <c r="P363" s="1852">
        <f>'Part II-Development Team'!P145</f>
        <v>0</v>
      </c>
      <c r="Q363" s="1852">
        <f>'Part II-Development Team'!Q145</f>
        <v>0</v>
      </c>
      <c r="R363" s="1852">
        <f>'Part II-Development Team'!R145</f>
        <v>0</v>
      </c>
      <c r="S363" s="1852">
        <f>'Part II-Development Team'!S145</f>
        <v>0</v>
      </c>
    </row>
    <row r="364" spans="1:19" ht="13.5" customHeight="1">
      <c r="A364" s="1844" t="s">
        <v>2839</v>
      </c>
      <c r="B364" s="1844"/>
      <c r="C364" s="1844"/>
      <c r="D364" s="1844"/>
      <c r="E364" s="1852">
        <f>'Part II-Development Team'!E146</f>
        <v>0</v>
      </c>
      <c r="F364" s="1852">
        <f>'Part II-Development Team'!F146</f>
        <v>0</v>
      </c>
      <c r="G364" s="1852">
        <f>'Part II-Development Team'!G146</f>
        <v>0</v>
      </c>
      <c r="H364" s="1852">
        <f>'Part II-Development Team'!H146</f>
        <v>0</v>
      </c>
      <c r="I364" s="1851" t="str">
        <f>'Part II-Development Team'!I146</f>
        <v>No</v>
      </c>
      <c r="J364" s="1851" t="str">
        <f>'Part II-Development Team'!J146</f>
        <v>No</v>
      </c>
      <c r="K364" s="1855" t="str">
        <f>'Part II-Development Team'!K146</f>
        <v>Nonprofit</v>
      </c>
      <c r="L364" s="1856">
        <f>'Part II-Development Team'!L146</f>
        <v>0</v>
      </c>
      <c r="M364" s="1851" t="str">
        <f>'Part II-Development Team'!M146</f>
        <v>No</v>
      </c>
      <c r="N364" s="1852">
        <f>'Part II-Development Team'!N146</f>
        <v>0</v>
      </c>
      <c r="O364" s="1852">
        <f>'Part II-Development Team'!O146</f>
        <v>0</v>
      </c>
      <c r="P364" s="1852">
        <f>'Part II-Development Team'!P146</f>
        <v>0</v>
      </c>
      <c r="Q364" s="1852">
        <f>'Part II-Development Team'!Q146</f>
        <v>0</v>
      </c>
      <c r="R364" s="1852">
        <f>'Part II-Development Team'!R146</f>
        <v>0</v>
      </c>
      <c r="S364" s="1852">
        <f>'Part II-Development Team'!S146</f>
        <v>0</v>
      </c>
    </row>
    <row r="365" spans="1:19" ht="13.5" customHeight="1">
      <c r="A365" s="1844" t="s">
        <v>2840</v>
      </c>
      <c r="B365" s="1844"/>
      <c r="C365" s="1844"/>
      <c r="D365" s="1844"/>
      <c r="E365" s="1852">
        <f>'Part II-Development Team'!E147</f>
        <v>0</v>
      </c>
      <c r="F365" s="1852">
        <f>'Part II-Development Team'!F147</f>
        <v>0</v>
      </c>
      <c r="G365" s="1852">
        <f>'Part II-Development Team'!G147</f>
        <v>0</v>
      </c>
      <c r="H365" s="1852">
        <f>'Part II-Development Team'!H147</f>
        <v>0</v>
      </c>
      <c r="I365" s="1851">
        <f>'Part II-Development Team'!I147</f>
        <v>0</v>
      </c>
      <c r="J365" s="1851">
        <f>'Part II-Development Team'!J147</f>
        <v>0</v>
      </c>
      <c r="K365" s="1855">
        <f>'Part II-Development Team'!K147</f>
        <v>0</v>
      </c>
      <c r="L365" s="1856">
        <f>'Part II-Development Team'!L147</f>
        <v>0</v>
      </c>
      <c r="M365" s="1851">
        <f>'Part II-Development Team'!M147</f>
        <v>0</v>
      </c>
      <c r="N365" s="1852">
        <f>'Part II-Development Team'!N147</f>
        <v>0</v>
      </c>
      <c r="O365" s="1852">
        <f>'Part II-Development Team'!O147</f>
        <v>0</v>
      </c>
      <c r="P365" s="1852">
        <f>'Part II-Development Team'!P147</f>
        <v>0</v>
      </c>
      <c r="Q365" s="1852">
        <f>'Part II-Development Team'!Q147</f>
        <v>0</v>
      </c>
      <c r="R365" s="1852">
        <f>'Part II-Development Team'!R147</f>
        <v>0</v>
      </c>
      <c r="S365" s="1852">
        <f>'Part II-Development Team'!S147</f>
        <v>0</v>
      </c>
    </row>
    <row r="366" spans="1:19" ht="13.5" customHeight="1">
      <c r="A366" s="1844" t="s">
        <v>2842</v>
      </c>
      <c r="B366" s="1844"/>
      <c r="C366" s="1844"/>
      <c r="D366" s="1844"/>
      <c r="E366" s="1852">
        <f>'Part II-Development Team'!E148</f>
        <v>0</v>
      </c>
      <c r="F366" s="1852">
        <f>'Part II-Development Team'!F148</f>
        <v>0</v>
      </c>
      <c r="G366" s="1852">
        <f>'Part II-Development Team'!G148</f>
        <v>0</v>
      </c>
      <c r="H366" s="1852">
        <f>'Part II-Development Team'!H148</f>
        <v>0</v>
      </c>
      <c r="I366" s="1851">
        <f>'Part II-Development Team'!I148</f>
        <v>0</v>
      </c>
      <c r="J366" s="1851">
        <f>'Part II-Development Team'!J148</f>
        <v>0</v>
      </c>
      <c r="K366" s="1855">
        <f>'Part II-Development Team'!K148</f>
        <v>0</v>
      </c>
      <c r="L366" s="1856">
        <f>'Part II-Development Team'!L148</f>
        <v>0</v>
      </c>
      <c r="M366" s="1851">
        <f>'Part II-Development Team'!M148</f>
        <v>0</v>
      </c>
      <c r="N366" s="1852">
        <f>'Part II-Development Team'!N148</f>
        <v>0</v>
      </c>
      <c r="O366" s="1852">
        <f>'Part II-Development Team'!O148</f>
        <v>0</v>
      </c>
      <c r="P366" s="1852">
        <f>'Part II-Development Team'!P148</f>
        <v>0</v>
      </c>
      <c r="Q366" s="1852">
        <f>'Part II-Development Team'!Q148</f>
        <v>0</v>
      </c>
      <c r="R366" s="1852">
        <f>'Part II-Development Team'!R148</f>
        <v>0</v>
      </c>
      <c r="S366" s="1852">
        <f>'Part II-Development Team'!S148</f>
        <v>0</v>
      </c>
    </row>
    <row r="367" spans="1:19" ht="13.5" customHeight="1">
      <c r="A367" s="1844" t="s">
        <v>2841</v>
      </c>
      <c r="B367" s="1844"/>
      <c r="C367" s="1844"/>
      <c r="D367" s="1844"/>
      <c r="E367" s="1852">
        <f>'Part II-Development Team'!E149</f>
        <v>0</v>
      </c>
      <c r="F367" s="1852">
        <f>'Part II-Development Team'!F149</f>
        <v>0</v>
      </c>
      <c r="G367" s="1852">
        <f>'Part II-Development Team'!G149</f>
        <v>0</v>
      </c>
      <c r="H367" s="1852">
        <f>'Part II-Development Team'!H149</f>
        <v>0</v>
      </c>
      <c r="I367" s="1851" t="str">
        <f>'Part II-Development Team'!I149</f>
        <v>No</v>
      </c>
      <c r="J367" s="1851" t="str">
        <f>'Part II-Development Team'!J149</f>
        <v>Yes</v>
      </c>
      <c r="K367" s="1855" t="str">
        <f>'Part II-Development Team'!K149</f>
        <v>For Profit</v>
      </c>
      <c r="L367" s="1856">
        <f>'Part II-Development Team'!L149</f>
        <v>0</v>
      </c>
      <c r="M367" s="1851" t="str">
        <f>'Part II-Development Team'!M149</f>
        <v>No</v>
      </c>
      <c r="N367" s="1852">
        <f>'Part II-Development Team'!N149</f>
        <v>0</v>
      </c>
      <c r="O367" s="1852">
        <f>'Part II-Development Team'!O149</f>
        <v>0</v>
      </c>
      <c r="P367" s="1852">
        <f>'Part II-Development Team'!P149</f>
        <v>0</v>
      </c>
      <c r="Q367" s="1852">
        <f>'Part II-Development Team'!Q149</f>
        <v>0</v>
      </c>
      <c r="R367" s="1852">
        <f>'Part II-Development Team'!R149</f>
        <v>0</v>
      </c>
      <c r="S367" s="1852">
        <f>'Part II-Development Team'!S149</f>
        <v>0</v>
      </c>
    </row>
    <row r="368" spans="1:19" ht="13.8">
      <c r="A368" s="1844" t="s">
        <v>1511</v>
      </c>
      <c r="B368" s="1844"/>
      <c r="C368" s="1844"/>
      <c r="D368" s="1844"/>
      <c r="E368" s="1852">
        <f>'Part II-Development Team'!E150</f>
        <v>0</v>
      </c>
      <c r="F368" s="1852">
        <f>'Part II-Development Team'!F150</f>
        <v>0</v>
      </c>
      <c r="G368" s="1852">
        <f>'Part II-Development Team'!G150</f>
        <v>0</v>
      </c>
      <c r="H368" s="1852">
        <f>'Part II-Development Team'!H150</f>
        <v>0</v>
      </c>
      <c r="I368" s="1851" t="str">
        <f>'Part II-Development Team'!I150</f>
        <v>No</v>
      </c>
      <c r="J368" s="1851" t="str">
        <f>'Part II-Development Team'!J150</f>
        <v>No</v>
      </c>
      <c r="K368" s="1855" t="str">
        <f>'Part II-Development Team'!K150</f>
        <v>For Profit</v>
      </c>
      <c r="L368" s="1856">
        <f>'Part II-Development Team'!L150</f>
        <v>0</v>
      </c>
      <c r="M368" s="1851" t="str">
        <f>'Part II-Development Team'!M150</f>
        <v>No</v>
      </c>
      <c r="N368" s="1852">
        <f>'Part II-Development Team'!N150</f>
        <v>0</v>
      </c>
      <c r="O368" s="1852">
        <f>'Part II-Development Team'!O150</f>
        <v>0</v>
      </c>
      <c r="P368" s="1852">
        <f>'Part II-Development Team'!P150</f>
        <v>0</v>
      </c>
      <c r="Q368" s="1852">
        <f>'Part II-Development Team'!Q150</f>
        <v>0</v>
      </c>
      <c r="R368" s="1852">
        <f>'Part II-Development Team'!R150</f>
        <v>0</v>
      </c>
      <c r="S368" s="1852">
        <f>'Part II-Development Team'!S150</f>
        <v>0</v>
      </c>
    </row>
    <row r="369" spans="1:20" ht="13.5" customHeight="1">
      <c r="A369" s="1844" t="s">
        <v>2843</v>
      </c>
      <c r="B369" s="1844"/>
      <c r="C369" s="1844"/>
      <c r="D369" s="1844"/>
      <c r="E369" s="1852">
        <f>'Part II-Development Team'!E151</f>
        <v>0</v>
      </c>
      <c r="F369" s="1852">
        <f>'Part II-Development Team'!F151</f>
        <v>0</v>
      </c>
      <c r="G369" s="1852">
        <f>'Part II-Development Team'!G151</f>
        <v>0</v>
      </c>
      <c r="H369" s="1852">
        <f>'Part II-Development Team'!H151</f>
        <v>0</v>
      </c>
      <c r="I369" s="1851" t="str">
        <f>'Part II-Development Team'!I151</f>
        <v>No</v>
      </c>
      <c r="J369" s="1851" t="str">
        <f>'Part II-Development Team'!J151</f>
        <v>No</v>
      </c>
      <c r="K369" s="1855" t="str">
        <f>'Part II-Development Team'!K151</f>
        <v>For Profit</v>
      </c>
      <c r="L369" s="1856">
        <f>'Part II-Development Team'!L151</f>
        <v>0</v>
      </c>
      <c r="M369" s="1851" t="str">
        <f>'Part II-Development Team'!M151</f>
        <v>Yes</v>
      </c>
      <c r="N369" s="1852" t="str">
        <f>'Part II-Development Team'!N151</f>
        <v>Hunt Companies, Inc has a controlling minority ownership interest in Ledic Realty Company, LLC.  Ledic Management Group, LLC is a wholly owned subsidiary of Ledic Realty Company, LLC.</v>
      </c>
      <c r="O369" s="1852">
        <f>'Part II-Development Team'!O151</f>
        <v>0</v>
      </c>
      <c r="P369" s="1852">
        <f>'Part II-Development Team'!P151</f>
        <v>0</v>
      </c>
      <c r="Q369" s="1852">
        <f>'Part II-Development Team'!Q151</f>
        <v>0</v>
      </c>
      <c r="R369" s="1852">
        <f>'Part II-Development Team'!R151</f>
        <v>0</v>
      </c>
      <c r="S369" s="1852">
        <f>'Part II-Development Team'!S151</f>
        <v>0</v>
      </c>
    </row>
    <row r="370" spans="1:20" ht="13.8">
      <c r="A370" s="1778"/>
      <c r="B370" s="1778"/>
      <c r="C370" s="1778"/>
      <c r="D370" s="1778"/>
      <c r="E370" s="1778"/>
      <c r="F370" s="1778"/>
      <c r="G370" s="1778"/>
      <c r="H370" s="1778"/>
      <c r="I370" s="1778"/>
      <c r="J370" s="1779"/>
      <c r="K370" s="1824" t="s">
        <v>531</v>
      </c>
      <c r="L370" s="1857">
        <f>SUM(L357:S369)</f>
        <v>1</v>
      </c>
      <c r="M370" s="1779"/>
      <c r="N370" s="1778"/>
      <c r="O370" s="1778"/>
      <c r="P370" s="1787"/>
      <c r="Q370" s="1778"/>
      <c r="R370" s="1778"/>
      <c r="S370" s="1778"/>
    </row>
    <row r="371" spans="1:20" ht="13.8">
      <c r="A371" s="1787" t="s">
        <v>522</v>
      </c>
      <c r="B371" s="1792"/>
      <c r="C371" s="1787" t="s">
        <v>562</v>
      </c>
      <c r="D371" s="1787"/>
      <c r="E371" s="1787"/>
      <c r="F371" s="1787"/>
      <c r="G371" s="1787"/>
      <c r="H371" s="1787"/>
      <c r="I371" s="1787"/>
      <c r="J371" s="1787"/>
      <c r="K371" s="1787"/>
      <c r="L371" s="1787"/>
      <c r="M371" s="1787"/>
      <c r="N371" s="1787" t="s">
        <v>522</v>
      </c>
      <c r="O371" s="1787" t="s">
        <v>77</v>
      </c>
      <c r="P371" s="1787"/>
      <c r="Q371" s="1787"/>
      <c r="R371" s="1787"/>
      <c r="S371" s="1787"/>
    </row>
    <row r="372" spans="1:20" ht="409.6">
      <c r="A372" s="1844" t="str">
        <f>'Part II-Development Team'!A154</f>
        <v xml:space="preserve">FCS Urban Ministries is the co-developer and will recieve 25% of the Developer Fee as disclosed in the preapplication. 
Developer:  Pennrose LLC  - Richard K. Barnhart 22.5%, Mark H. Dambly 22.5%, Timothy I. Henkel, 15.0% (all Certifying Principals) AND Hunt PR Holdings, LLC (Member) - Please see attached Org Chart.  In this Pre-Application, when choosing the "proposed project participant role" for Pennrose LLC, we selected "Other Developer".  There was no option to select "Developer".   Pennrose LLC is the only Developer for this project.  
Green Sustainable Solutions, LLC (GSS) is a development consultant for the LIHTC application only.  GSS is not materially participating in this project.  GSS does not have any direct or indirect ownership interest in the Ownership Entity or the Developer of this project.  GSS participation is as a tax credit application consultant, and their financial compensation in this project is less than the Georgia Department of Community Affairs' material measurement of 5% of developer fee
In 2015 Charis Community Housing, Inc merged with FCS Urban Ministries (FCS). Merger documentation has been included in Tab 43 - Other.  There may be references to Charis Community Housing, Inc which is essentially synonomous with FCS. 
</v>
      </c>
      <c r="B372" s="1844"/>
      <c r="C372" s="1844"/>
      <c r="D372" s="1844"/>
      <c r="E372" s="1844"/>
      <c r="F372" s="1844"/>
      <c r="G372" s="1844"/>
      <c r="H372" s="1844"/>
      <c r="I372" s="1844"/>
      <c r="J372" s="1844"/>
      <c r="K372" s="1844"/>
      <c r="L372" s="1844"/>
      <c r="M372" s="1844"/>
      <c r="N372" s="1844">
        <f>'Part II-Development Team'!N154</f>
        <v>0</v>
      </c>
      <c r="O372" s="1844"/>
      <c r="P372" s="1844"/>
      <c r="Q372" s="1844"/>
      <c r="R372" s="1844"/>
      <c r="S372" s="1844"/>
    </row>
    <row r="378" spans="1:20" ht="13.8">
      <c r="A378" s="1778" t="str">
        <f>CONCATENATE("PART THREE - SOURCES OF FUNDS","  -  ",'Part I-Project Information'!$O$6," ",'Part I-Project Information'!$F$34,", ",'Part I-Project Information'!$F$38,", ",'Part I-Project Information'!$J$39," County")</f>
        <v>PART THREE - SOURCES OF FUNDS  -  2019-063 Haven at South Atlanta, Atlanta, Fulton County</v>
      </c>
      <c r="B378" s="1778"/>
      <c r="C378" s="1778"/>
      <c r="D378" s="1778"/>
      <c r="E378" s="1778"/>
      <c r="F378" s="1778"/>
      <c r="G378" s="1778"/>
      <c r="H378" s="1778"/>
      <c r="I378" s="1778"/>
      <c r="J378" s="1778"/>
      <c r="K378" s="1778"/>
      <c r="L378" s="1778"/>
      <c r="M378" s="1778"/>
      <c r="N378" s="1778"/>
      <c r="O378" s="1778"/>
      <c r="P378" s="1778"/>
      <c r="Q378" s="1778"/>
      <c r="R378" s="1790"/>
      <c r="S378" s="1790" t="str">
        <f>$A$1</f>
        <v>Project Narrative</v>
      </c>
      <c r="T378" s="1790"/>
    </row>
    <row r="379" spans="1:20" ht="13.8">
      <c r="A379" s="1787"/>
      <c r="B379" s="1787"/>
      <c r="C379" s="1787"/>
      <c r="D379" s="1787"/>
      <c r="E379" s="1787"/>
      <c r="F379" s="1787"/>
      <c r="G379" s="1311"/>
      <c r="H379" s="1311"/>
      <c r="I379" s="1311"/>
      <c r="J379" s="1311"/>
      <c r="K379" s="1311"/>
      <c r="L379" s="1311"/>
      <c r="M379" s="1858"/>
      <c r="N379" s="1858"/>
      <c r="O379" s="1858"/>
      <c r="P379" s="1858"/>
      <c r="Q379" s="1858"/>
      <c r="R379" s="1858"/>
      <c r="S379" s="1858"/>
      <c r="T379" s="1858"/>
    </row>
    <row r="380" spans="1:20" ht="13.8">
      <c r="A380" s="1778" t="s">
        <v>605</v>
      </c>
      <c r="B380" s="1778" t="s">
        <v>2458</v>
      </c>
      <c r="C380" s="1778"/>
      <c r="D380" s="1778"/>
      <c r="E380" s="1778"/>
      <c r="F380" s="1778"/>
      <c r="G380" s="1778"/>
      <c r="H380" s="1790"/>
      <c r="I380" s="1790"/>
      <c r="J380" s="1790"/>
      <c r="K380" s="1790"/>
      <c r="L380" s="1859" t="str">
        <f>'Part I-Project Information'!$B$6</f>
        <v>May 2019</v>
      </c>
      <c r="M380" s="1859"/>
      <c r="N380" s="1859"/>
      <c r="O380" s="1859"/>
      <c r="P380" s="1859"/>
      <c r="Q380" s="1790"/>
      <c r="R380" s="1790"/>
      <c r="S380" s="1790" t="str">
        <f>B380</f>
        <v>GOVERNMENT FUNDING SOURCES  (check all that apply)</v>
      </c>
      <c r="T380" s="1790"/>
    </row>
    <row r="381" spans="1:20" ht="13.8">
      <c r="A381" s="1787"/>
      <c r="B381" s="1779"/>
      <c r="C381" s="1787"/>
      <c r="D381" s="1778"/>
      <c r="E381" s="1778"/>
      <c r="F381" s="1778"/>
      <c r="G381" s="1778"/>
      <c r="H381" s="1790"/>
      <c r="I381" s="1790"/>
      <c r="J381" s="1790"/>
      <c r="K381" s="1790"/>
      <c r="L381" s="1790"/>
      <c r="M381" s="1790"/>
      <c r="N381" s="1790"/>
      <c r="O381" s="1790"/>
      <c r="P381" s="1790"/>
      <c r="Q381" s="1790"/>
      <c r="R381" s="1790"/>
      <c r="S381" s="1860" t="s">
        <v>2646</v>
      </c>
      <c r="T381" s="1860"/>
    </row>
    <row r="382" spans="1:20" ht="13.8">
      <c r="A382" s="1779"/>
      <c r="B382" s="1779" t="str">
        <f>'Part III-Sources of Funds'!B5</f>
        <v>Yes</v>
      </c>
      <c r="C382" s="1781" t="s">
        <v>2379</v>
      </c>
      <c r="D382" s="1778"/>
      <c r="E382" s="1779" t="str">
        <f>'Part III-Sources of Funds'!E5</f>
        <v>No</v>
      </c>
      <c r="F382" s="1781" t="s">
        <v>5028</v>
      </c>
      <c r="G382" s="1778"/>
      <c r="H382" s="1861">
        <f>'Part III-Sources of Funds'!H5</f>
        <v>0</v>
      </c>
      <c r="I382" s="1311">
        <f>'Part III-Sources of Funds'!I5</f>
        <v>0</v>
      </c>
      <c r="J382" s="1790"/>
      <c r="K382" s="1790"/>
      <c r="L382" s="1779" t="str">
        <f>'Part III-Sources of Funds'!L5</f>
        <v>No</v>
      </c>
      <c r="M382" s="1781" t="s">
        <v>1518</v>
      </c>
      <c r="N382" s="1790"/>
      <c r="O382" s="1790"/>
      <c r="P382" s="1790"/>
      <c r="Q382" s="1790"/>
      <c r="R382" s="1790"/>
      <c r="S382" s="1844">
        <f>'Part III-Sources of Funds'!S5</f>
        <v>0</v>
      </c>
      <c r="T382" s="1844">
        <f>'Part III-Sources of Funds'!T5</f>
        <v>0</v>
      </c>
    </row>
    <row r="383" spans="1:20" ht="13.8">
      <c r="A383" s="1779"/>
      <c r="B383" s="1779" t="str">
        <f>'Part III-Sources of Funds'!B6</f>
        <v>No</v>
      </c>
      <c r="C383" s="1781" t="s">
        <v>4672</v>
      </c>
      <c r="D383" s="1778"/>
      <c r="E383" s="1779" t="str">
        <f>'Part III-Sources of Funds'!E6</f>
        <v>No</v>
      </c>
      <c r="F383" s="1781" t="s">
        <v>5029</v>
      </c>
      <c r="G383" s="1790"/>
      <c r="H383" s="1861">
        <f>'Part III-Sources of Funds'!H6</f>
        <v>0</v>
      </c>
      <c r="I383" s="1311">
        <f>'Part III-Sources of Funds'!I6</f>
        <v>0</v>
      </c>
      <c r="J383" s="1790"/>
      <c r="K383" s="1790"/>
      <c r="L383" s="1779" t="str">
        <f>'Part III-Sources of Funds'!L6</f>
        <v>No</v>
      </c>
      <c r="M383" s="1781" t="s">
        <v>541</v>
      </c>
      <c r="N383" s="1790"/>
      <c r="O383" s="1790"/>
      <c r="P383" s="1790"/>
      <c r="Q383" s="1790"/>
      <c r="R383" s="1790"/>
      <c r="S383" s="1844">
        <f>'Part III-Sources of Funds'!S6</f>
        <v>0</v>
      </c>
      <c r="T383" s="1844">
        <f>'Part III-Sources of Funds'!T6</f>
        <v>0</v>
      </c>
    </row>
    <row r="384" spans="1:20" ht="13.8">
      <c r="A384" s="1778"/>
      <c r="B384" s="1779" t="str">
        <f>'Part III-Sources of Funds'!B7</f>
        <v>No</v>
      </c>
      <c r="C384" s="1781" t="s">
        <v>542</v>
      </c>
      <c r="D384" s="1790"/>
      <c r="E384" s="1790"/>
      <c r="F384" s="1778" t="s">
        <v>5030</v>
      </c>
      <c r="G384" s="1790"/>
      <c r="H384" s="1790" t="str">
        <f>'Part III-Sources of Funds'!H7</f>
        <v>Specify Other HOME Source here</v>
      </c>
      <c r="I384" s="1790">
        <f>'Part III-Sources of Funds'!I7</f>
        <v>0</v>
      </c>
      <c r="J384" s="1790">
        <f>'Part III-Sources of Funds'!J7</f>
        <v>0</v>
      </c>
      <c r="K384" s="1790"/>
      <c r="L384" s="1779" t="str">
        <f>'Part III-Sources of Funds'!L7</f>
        <v>No</v>
      </c>
      <c r="M384" s="1781" t="s">
        <v>3529</v>
      </c>
      <c r="N384" s="1790"/>
      <c r="O384" s="1790"/>
      <c r="P384" s="1790"/>
      <c r="Q384" s="1790"/>
      <c r="R384" s="1790"/>
      <c r="S384" s="1844">
        <f>'Part III-Sources of Funds'!S7</f>
        <v>0</v>
      </c>
      <c r="T384" s="1844">
        <f>'Part III-Sources of Funds'!T7</f>
        <v>0</v>
      </c>
    </row>
    <row r="385" spans="1:20" ht="13.8">
      <c r="A385" s="1779"/>
      <c r="B385" s="1779" t="str">
        <f>'Part III-Sources of Funds'!B8</f>
        <v>No</v>
      </c>
      <c r="C385" s="1781" t="s">
        <v>2567</v>
      </c>
      <c r="D385" s="1790"/>
      <c r="E385" s="1779" t="str">
        <f>'Part III-Sources of Funds'!E8</f>
        <v>No</v>
      </c>
      <c r="F385" s="1781" t="s">
        <v>2575</v>
      </c>
      <c r="G385" s="1790"/>
      <c r="H385" s="1790"/>
      <c r="I385" s="1790"/>
      <c r="J385" s="1790"/>
      <c r="K385" s="1790"/>
      <c r="L385" s="1779" t="str">
        <f>'Part III-Sources of Funds'!L8</f>
        <v>No</v>
      </c>
      <c r="M385" s="1781" t="s">
        <v>4673</v>
      </c>
      <c r="N385" s="1790"/>
      <c r="O385" s="1790"/>
      <c r="P385" s="1790"/>
      <c r="Q385" s="1790"/>
      <c r="R385" s="1790"/>
      <c r="S385" s="1844">
        <f>'Part III-Sources of Funds'!S8</f>
        <v>0</v>
      </c>
      <c r="T385" s="1844">
        <f>'Part III-Sources of Funds'!T8</f>
        <v>0</v>
      </c>
    </row>
    <row r="386" spans="1:20" ht="13.8">
      <c r="A386" s="1779"/>
      <c r="B386" s="1779" t="str">
        <f>'Part III-Sources of Funds'!B9</f>
        <v>No</v>
      </c>
      <c r="C386" s="1781" t="s">
        <v>2568</v>
      </c>
      <c r="D386" s="1790"/>
      <c r="E386" s="1779" t="str">
        <f>'Part III-Sources of Funds'!E9</f>
        <v>No</v>
      </c>
      <c r="F386" s="1781" t="s">
        <v>3618</v>
      </c>
      <c r="G386" s="1790"/>
      <c r="H386" s="1790" t="str">
        <f>'Part III-Sources of Funds'!H9</f>
        <v>Specify Other PBRA Source here</v>
      </c>
      <c r="I386" s="1790">
        <f>'Part III-Sources of Funds'!I9</f>
        <v>0</v>
      </c>
      <c r="J386" s="1790">
        <f>'Part III-Sources of Funds'!J9</f>
        <v>0</v>
      </c>
      <c r="K386" s="1790"/>
      <c r="L386" s="1779" t="str">
        <f>'Part III-Sources of Funds'!L9</f>
        <v>No</v>
      </c>
      <c r="M386" s="1781" t="s">
        <v>3581</v>
      </c>
      <c r="N386" s="1790"/>
      <c r="O386" s="1790"/>
      <c r="P386" s="1790"/>
      <c r="Q386" s="1790"/>
      <c r="R386" s="1790"/>
      <c r="S386" s="1844">
        <f>'Part III-Sources of Funds'!S9</f>
        <v>0</v>
      </c>
      <c r="T386" s="1844">
        <f>'Part III-Sources of Funds'!T9</f>
        <v>0</v>
      </c>
    </row>
    <row r="387" spans="1:20" ht="13.8">
      <c r="A387" s="1779"/>
      <c r="B387" s="1779" t="str">
        <f>'Part III-Sources of Funds'!B10</f>
        <v>No</v>
      </c>
      <c r="C387" s="1781" t="s">
        <v>3585</v>
      </c>
      <c r="D387" s="1790"/>
      <c r="E387" s="1779" t="str">
        <f>'Part III-Sources of Funds'!E10</f>
        <v>No</v>
      </c>
      <c r="F387" s="1790" t="str">
        <f>'Part III-Sources of Funds'!F10</f>
        <v>Other Type of FEDERAL Funding - describe type/program here</v>
      </c>
      <c r="G387" s="1790">
        <f>'Part III-Sources of Funds'!G10</f>
        <v>0</v>
      </c>
      <c r="H387" s="1790">
        <f>'Part III-Sources of Funds'!H10</f>
        <v>0</v>
      </c>
      <c r="I387" s="1790">
        <f>'Part III-Sources of Funds'!I10</f>
        <v>0</v>
      </c>
      <c r="J387" s="1790">
        <f>'Part III-Sources of Funds'!J10</f>
        <v>0</v>
      </c>
      <c r="K387" s="1790"/>
      <c r="L387" s="1779" t="str">
        <f>'Part III-Sources of Funds'!L10</f>
        <v>No</v>
      </c>
      <c r="M387" s="1778" t="s">
        <v>2576</v>
      </c>
      <c r="N387" s="1790"/>
      <c r="O387" s="1790"/>
      <c r="P387" s="1790"/>
      <c r="Q387" s="1790"/>
      <c r="R387" s="1790"/>
      <c r="S387" s="1844">
        <f>'Part III-Sources of Funds'!S10</f>
        <v>0</v>
      </c>
      <c r="T387" s="1844">
        <f>'Part III-Sources of Funds'!T10</f>
        <v>0</v>
      </c>
    </row>
    <row r="388" spans="1:20" ht="13.8">
      <c r="A388" s="1779"/>
      <c r="B388" s="1779" t="str">
        <f>'Part III-Sources of Funds'!B11</f>
        <v>No</v>
      </c>
      <c r="C388" s="1778" t="s">
        <v>3753</v>
      </c>
      <c r="D388" s="1790"/>
      <c r="E388" s="1790"/>
      <c r="F388" s="1790" t="str">
        <f>'Part III-Sources of Funds'!F11</f>
        <v>Specify Source/Administrator of Other FEDERAL Funding here</v>
      </c>
      <c r="G388" s="1790">
        <f>'Part III-Sources of Funds'!G11</f>
        <v>0</v>
      </c>
      <c r="H388" s="1790">
        <f>'Part III-Sources of Funds'!H11</f>
        <v>0</v>
      </c>
      <c r="I388" s="1790">
        <f>'Part III-Sources of Funds'!I11</f>
        <v>0</v>
      </c>
      <c r="J388" s="1790">
        <f>'Part III-Sources of Funds'!J11</f>
        <v>0</v>
      </c>
      <c r="K388" s="1790"/>
      <c r="L388" s="1779" t="str">
        <f>'Part III-Sources of Funds'!L11</f>
        <v>No</v>
      </c>
      <c r="M388" s="1778" t="s">
        <v>3621</v>
      </c>
      <c r="N388" s="1790"/>
      <c r="O388" s="1790"/>
      <c r="P388" s="1790"/>
      <c r="Q388" s="1790"/>
      <c r="R388" s="1790"/>
      <c r="S388" s="1844">
        <f>'Part III-Sources of Funds'!S11</f>
        <v>0</v>
      </c>
      <c r="T388" s="1844">
        <f>'Part III-Sources of Funds'!T11</f>
        <v>0</v>
      </c>
    </row>
    <row r="389" spans="1:20" ht="13.8">
      <c r="A389" s="1779"/>
      <c r="B389" s="1779" t="str">
        <f>'Part III-Sources of Funds'!B12</f>
        <v>No</v>
      </c>
      <c r="C389" s="1778" t="s">
        <v>2574</v>
      </c>
      <c r="D389" s="1790"/>
      <c r="E389" s="1779" t="str">
        <f>'Part III-Sources of Funds'!E12</f>
        <v>Yes</v>
      </c>
      <c r="F389" s="1790" t="str">
        <f>'Part III-Sources of Funds'!F12</f>
        <v>Housing Opportunity Bond</v>
      </c>
      <c r="G389" s="1790">
        <f>'Part III-Sources of Funds'!G12</f>
        <v>0</v>
      </c>
      <c r="H389" s="1790">
        <f>'Part III-Sources of Funds'!H12</f>
        <v>0</v>
      </c>
      <c r="I389" s="1790">
        <f>'Part III-Sources of Funds'!I12</f>
        <v>0</v>
      </c>
      <c r="J389" s="1790">
        <f>'Part III-Sources of Funds'!J12</f>
        <v>0</v>
      </c>
      <c r="K389" s="1790"/>
      <c r="L389" s="1779" t="str">
        <f>'Part III-Sources of Funds'!L12</f>
        <v>No</v>
      </c>
      <c r="M389" s="1778" t="s">
        <v>2750</v>
      </c>
      <c r="N389" s="1790"/>
      <c r="O389" s="1790"/>
      <c r="P389" s="1790"/>
      <c r="Q389" s="1790"/>
      <c r="R389" s="1790"/>
      <c r="S389" s="1844">
        <f>'Part III-Sources of Funds'!S12</f>
        <v>0</v>
      </c>
      <c r="T389" s="1844">
        <f>'Part III-Sources of Funds'!T12</f>
        <v>0</v>
      </c>
    </row>
    <row r="390" spans="1:20" ht="13.8">
      <c r="A390" s="1779"/>
      <c r="B390" s="1779" t="str">
        <f>'Part III-Sources of Funds'!B13</f>
        <v>No</v>
      </c>
      <c r="C390" s="1778" t="s">
        <v>3617</v>
      </c>
      <c r="D390" s="1790"/>
      <c r="E390" s="1790"/>
      <c r="F390" s="1790" t="str">
        <f>'Part III-Sources of Funds'!F13</f>
        <v>Invest Atlanta</v>
      </c>
      <c r="G390" s="1790">
        <f>'Part III-Sources of Funds'!G13</f>
        <v>0</v>
      </c>
      <c r="H390" s="1790">
        <f>'Part III-Sources of Funds'!H13</f>
        <v>0</v>
      </c>
      <c r="I390" s="1790">
        <f>'Part III-Sources of Funds'!I13</f>
        <v>0</v>
      </c>
      <c r="J390" s="1790">
        <f>'Part III-Sources of Funds'!J13</f>
        <v>0</v>
      </c>
      <c r="K390" s="1790"/>
      <c r="L390" s="1779" t="str">
        <f>'Part III-Sources of Funds'!L13</f>
        <v>No</v>
      </c>
      <c r="M390" s="1781" t="s">
        <v>3752</v>
      </c>
      <c r="N390" s="1790"/>
      <c r="O390" s="1790"/>
      <c r="P390" s="1790"/>
      <c r="Q390" s="1790"/>
      <c r="R390" s="1790"/>
      <c r="S390" s="1844">
        <f>'Part III-Sources of Funds'!S13</f>
        <v>0</v>
      </c>
      <c r="T390" s="1844">
        <f>'Part III-Sources of Funds'!T13</f>
        <v>0</v>
      </c>
    </row>
    <row r="391" spans="1:20" ht="13.8">
      <c r="A391" s="1779"/>
      <c r="B391" s="1779" t="str">
        <f>'Part III-Sources of Funds'!B14</f>
        <v>No</v>
      </c>
      <c r="C391" s="1781" t="s">
        <v>1779</v>
      </c>
      <c r="D391" s="1790"/>
      <c r="E391" s="1779" t="str">
        <f>'Part III-Sources of Funds'!E14</f>
        <v>No</v>
      </c>
      <c r="F391" s="1781" t="s">
        <v>4670</v>
      </c>
      <c r="G391" s="1790"/>
      <c r="H391" s="1790"/>
      <c r="I391" s="1830">
        <f>'Part III-Sources of Funds'!I14</f>
        <v>0</v>
      </c>
      <c r="J391" s="1830">
        <f>'Part III-Sources of Funds'!J14</f>
        <v>0</v>
      </c>
      <c r="K391" s="1790"/>
      <c r="L391" s="1779" t="str">
        <f>'Part III-Sources of Funds'!L14</f>
        <v>No</v>
      </c>
      <c r="M391" s="1782" t="s">
        <v>5031</v>
      </c>
      <c r="N391" s="1790"/>
      <c r="O391" s="1790"/>
      <c r="P391" s="1790"/>
      <c r="Q391" s="1790"/>
      <c r="R391" s="1790"/>
      <c r="S391" s="1790"/>
      <c r="T391" s="1790"/>
    </row>
    <row r="392" spans="1:20" ht="13.8">
      <c r="A392" s="1779"/>
      <c r="B392" s="1790" t="s">
        <v>4674</v>
      </c>
      <c r="C392" s="1778"/>
      <c r="D392" s="1778"/>
      <c r="E392" s="1778"/>
      <c r="F392" s="1778"/>
      <c r="G392" s="1778"/>
      <c r="H392" s="1778"/>
      <c r="I392" s="1778"/>
      <c r="J392" s="1778"/>
      <c r="K392" s="1778"/>
      <c r="L392" s="1778"/>
      <c r="M392" s="1792"/>
      <c r="N392" s="1778"/>
      <c r="O392" s="1778"/>
      <c r="P392" s="1778"/>
      <c r="Q392" s="1778"/>
      <c r="R392" s="1790"/>
      <c r="S392" s="1790"/>
      <c r="T392" s="1790"/>
    </row>
    <row r="393" spans="1:20" ht="13.8">
      <c r="A393" s="1779"/>
      <c r="B393" s="1790"/>
      <c r="C393" s="1790"/>
      <c r="D393" s="1790"/>
      <c r="E393" s="1790"/>
      <c r="F393" s="1790"/>
      <c r="G393" s="1790"/>
      <c r="H393" s="1790"/>
      <c r="I393" s="1790"/>
      <c r="J393" s="1790"/>
      <c r="K393" s="1790"/>
      <c r="L393" s="1778"/>
      <c r="M393" s="1792"/>
      <c r="N393" s="1778"/>
      <c r="O393" s="1778"/>
      <c r="P393" s="1778"/>
      <c r="Q393" s="1778"/>
      <c r="R393" s="1790"/>
      <c r="S393" s="1790"/>
      <c r="T393" s="1790"/>
    </row>
    <row r="394" spans="1:20" ht="13.8">
      <c r="A394" s="1778" t="s">
        <v>729</v>
      </c>
      <c r="B394" s="1781" t="s">
        <v>2316</v>
      </c>
      <c r="C394" s="1778"/>
      <c r="D394" s="1778"/>
      <c r="E394" s="1778"/>
      <c r="F394" s="1778"/>
      <c r="G394" s="1778"/>
      <c r="H394" s="1790"/>
      <c r="I394" s="1790"/>
      <c r="J394" s="1790"/>
      <c r="K394" s="1790"/>
      <c r="L394" s="1778"/>
      <c r="M394" s="1778"/>
      <c r="N394" s="1778"/>
      <c r="O394" s="1778"/>
      <c r="P394" s="1778"/>
      <c r="Q394" s="1778"/>
      <c r="R394" s="1790"/>
      <c r="S394" s="1790" t="str">
        <f>B394</f>
        <v>CONSTRUCTION FINANCING</v>
      </c>
      <c r="T394" s="1790"/>
    </row>
    <row r="395" spans="1:20" ht="13.8">
      <c r="A395" s="1778"/>
      <c r="B395" s="1781"/>
      <c r="C395" s="1778"/>
      <c r="D395" s="1790"/>
      <c r="E395" s="1790"/>
      <c r="F395" s="1790"/>
      <c r="G395" s="1790"/>
      <c r="H395" s="1790"/>
      <c r="I395" s="1790"/>
      <c r="J395" s="1790"/>
      <c r="K395" s="1778"/>
      <c r="L395" s="1778"/>
      <c r="M395" s="1778"/>
      <c r="N395" s="1779"/>
      <c r="O395" s="1779"/>
      <c r="P395" s="1778"/>
      <c r="Q395" s="1778"/>
      <c r="R395" s="1790"/>
      <c r="S395" s="1790"/>
      <c r="T395" s="1790"/>
    </row>
    <row r="396" spans="1:20" ht="13.8">
      <c r="A396" s="1778"/>
      <c r="B396" s="1781" t="s">
        <v>1845</v>
      </c>
      <c r="C396" s="1778"/>
      <c r="D396" s="1778"/>
      <c r="E396" s="1778"/>
      <c r="F396" s="1778"/>
      <c r="G396" s="1778"/>
      <c r="H396" s="1778" t="s">
        <v>1282</v>
      </c>
      <c r="I396" s="1778"/>
      <c r="J396" s="1778"/>
      <c r="K396" s="1778"/>
      <c r="L396" s="1778" t="s">
        <v>4626</v>
      </c>
      <c r="M396" s="1778"/>
      <c r="N396" s="1778" t="s">
        <v>1489</v>
      </c>
      <c r="O396" s="1778"/>
      <c r="P396" s="1778" t="s">
        <v>1611</v>
      </c>
      <c r="Q396" s="1778"/>
      <c r="R396" s="1790"/>
      <c r="S396" s="1860" t="s">
        <v>2646</v>
      </c>
      <c r="T396" s="1860"/>
    </row>
    <row r="397" spans="1:20" ht="13.8">
      <c r="A397" s="1778"/>
      <c r="B397" s="1778" t="s">
        <v>1572</v>
      </c>
      <c r="C397" s="1778"/>
      <c r="D397" s="1778"/>
      <c r="E397" s="1778"/>
      <c r="F397" s="1778"/>
      <c r="G397" s="1778"/>
      <c r="H397" s="1780" t="str">
        <f>'Part III-Sources of Funds'!H20</f>
        <v>Bank of America</v>
      </c>
      <c r="I397" s="1780">
        <f>'Part III-Sources of Funds'!I20</f>
        <v>0</v>
      </c>
      <c r="J397" s="1780">
        <f>'Part III-Sources of Funds'!J20</f>
        <v>0</v>
      </c>
      <c r="K397" s="1780">
        <f>'Part III-Sources of Funds'!K20</f>
        <v>0</v>
      </c>
      <c r="L397" s="1793">
        <f>'Part III-Sources of Funds'!L20</f>
        <v>4041894</v>
      </c>
      <c r="M397" s="1793">
        <f>'Part III-Sources of Funds'!M20</f>
        <v>0</v>
      </c>
      <c r="N397" s="1862">
        <f>'Part III-Sources of Funds'!N20</f>
        <v>5.1900000000000002E-2</v>
      </c>
      <c r="O397" s="1862">
        <f>'Part III-Sources of Funds'!O20</f>
        <v>0</v>
      </c>
      <c r="P397" s="1863">
        <f>'Part III-Sources of Funds'!P20</f>
        <v>24</v>
      </c>
      <c r="Q397" s="1863">
        <f>'Part III-Sources of Funds'!Q20</f>
        <v>0</v>
      </c>
      <c r="R397" s="1790"/>
      <c r="S397" s="1844">
        <f>'Part III-Sources of Funds'!S20</f>
        <v>0</v>
      </c>
      <c r="T397" s="1844">
        <f>'Part III-Sources of Funds'!T20</f>
        <v>0</v>
      </c>
    </row>
    <row r="398" spans="1:20" ht="13.8">
      <c r="A398" s="1778"/>
      <c r="B398" s="1778" t="s">
        <v>1573</v>
      </c>
      <c r="C398" s="1778"/>
      <c r="D398" s="1778"/>
      <c r="E398" s="1778"/>
      <c r="F398" s="1778"/>
      <c r="G398" s="1778"/>
      <c r="H398" s="1780" t="str">
        <f>'Part III-Sources of Funds'!H21</f>
        <v>Invest Atlanta</v>
      </c>
      <c r="I398" s="1780">
        <f>'Part III-Sources of Funds'!I21</f>
        <v>0</v>
      </c>
      <c r="J398" s="1780">
        <f>'Part III-Sources of Funds'!J21</f>
        <v>0</v>
      </c>
      <c r="K398" s="1780">
        <f>'Part III-Sources of Funds'!K21</f>
        <v>0</v>
      </c>
      <c r="L398" s="1793">
        <f>'Part III-Sources of Funds'!L21</f>
        <v>1200000</v>
      </c>
      <c r="M398" s="1793">
        <f>'Part III-Sources of Funds'!M21</f>
        <v>0</v>
      </c>
      <c r="N398" s="1862">
        <f>'Part III-Sources of Funds'!N21</f>
        <v>0</v>
      </c>
      <c r="O398" s="1862">
        <f>'Part III-Sources of Funds'!O21</f>
        <v>0</v>
      </c>
      <c r="P398" s="1830">
        <f>'Part III-Sources of Funds'!P21</f>
        <v>24</v>
      </c>
      <c r="Q398" s="1830">
        <f>'Part III-Sources of Funds'!Q21</f>
        <v>0</v>
      </c>
      <c r="R398" s="1790"/>
      <c r="S398" s="1844">
        <f>'Part III-Sources of Funds'!S21</f>
        <v>0</v>
      </c>
      <c r="T398" s="1844">
        <f>'Part III-Sources of Funds'!T21</f>
        <v>0</v>
      </c>
    </row>
    <row r="399" spans="1:20" ht="13.8">
      <c r="A399" s="1778"/>
      <c r="B399" s="1778" t="s">
        <v>1574</v>
      </c>
      <c r="C399" s="1778"/>
      <c r="D399" s="1778"/>
      <c r="E399" s="1778"/>
      <c r="F399" s="1778"/>
      <c r="G399" s="1778"/>
      <c r="H399" s="1780">
        <f>'Part III-Sources of Funds'!H22</f>
        <v>0</v>
      </c>
      <c r="I399" s="1780">
        <f>'Part III-Sources of Funds'!I22</f>
        <v>0</v>
      </c>
      <c r="J399" s="1780">
        <f>'Part III-Sources of Funds'!J22</f>
        <v>0</v>
      </c>
      <c r="K399" s="1780">
        <f>'Part III-Sources of Funds'!K22</f>
        <v>0</v>
      </c>
      <c r="L399" s="1793">
        <f>'Part III-Sources of Funds'!L22</f>
        <v>0</v>
      </c>
      <c r="M399" s="1793">
        <f>'Part III-Sources of Funds'!M22</f>
        <v>0</v>
      </c>
      <c r="N399" s="1862">
        <f>'Part III-Sources of Funds'!N22</f>
        <v>0</v>
      </c>
      <c r="O399" s="1862">
        <f>'Part III-Sources of Funds'!O22</f>
        <v>0</v>
      </c>
      <c r="P399" s="1830">
        <f>'Part III-Sources of Funds'!P22</f>
        <v>0</v>
      </c>
      <c r="Q399" s="1830">
        <f>'Part III-Sources of Funds'!Q22</f>
        <v>0</v>
      </c>
      <c r="R399" s="1790"/>
      <c r="S399" s="1844">
        <f>'Part III-Sources of Funds'!S22</f>
        <v>0</v>
      </c>
      <c r="T399" s="1844">
        <f>'Part III-Sources of Funds'!T22</f>
        <v>0</v>
      </c>
    </row>
    <row r="400" spans="1:20" ht="13.8">
      <c r="A400" s="1778"/>
      <c r="B400" s="1778" t="s">
        <v>2187</v>
      </c>
      <c r="C400" s="1778"/>
      <c r="D400" s="1778"/>
      <c r="E400" s="1778"/>
      <c r="F400" s="1778"/>
      <c r="G400" s="1778"/>
      <c r="H400" s="1780">
        <f>'Part III-Sources of Funds'!H23</f>
        <v>0</v>
      </c>
      <c r="I400" s="1780">
        <f>'Part III-Sources of Funds'!I23</f>
        <v>0</v>
      </c>
      <c r="J400" s="1780">
        <f>'Part III-Sources of Funds'!J23</f>
        <v>0</v>
      </c>
      <c r="K400" s="1780">
        <f>'Part III-Sources of Funds'!K23</f>
        <v>0</v>
      </c>
      <c r="L400" s="1793">
        <f>'Part III-Sources of Funds'!L23</f>
        <v>0</v>
      </c>
      <c r="M400" s="1793">
        <f>'Part III-Sources of Funds'!M23</f>
        <v>0</v>
      </c>
      <c r="N400" s="1862"/>
      <c r="O400" s="1862"/>
      <c r="P400" s="1778"/>
      <c r="Q400" s="1778"/>
      <c r="R400" s="1790"/>
      <c r="S400" s="1844">
        <f>'Part III-Sources of Funds'!S23</f>
        <v>0</v>
      </c>
      <c r="T400" s="1844">
        <f>'Part III-Sources of Funds'!T23</f>
        <v>0</v>
      </c>
    </row>
    <row r="401" spans="1:20" ht="13.8">
      <c r="A401" s="1778"/>
      <c r="B401" s="1778" t="s">
        <v>789</v>
      </c>
      <c r="C401" s="1778"/>
      <c r="D401" s="1778"/>
      <c r="E401" s="1778"/>
      <c r="F401" s="1790"/>
      <c r="G401" s="1790"/>
      <c r="H401" s="1780">
        <f>'Part III-Sources of Funds'!H24</f>
        <v>0</v>
      </c>
      <c r="I401" s="1780">
        <f>'Part III-Sources of Funds'!I24</f>
        <v>0</v>
      </c>
      <c r="J401" s="1780">
        <f>'Part III-Sources of Funds'!J24</f>
        <v>0</v>
      </c>
      <c r="K401" s="1780">
        <f>'Part III-Sources of Funds'!K24</f>
        <v>0</v>
      </c>
      <c r="L401" s="1793">
        <f>'Part III-Sources of Funds'!L24</f>
        <v>0</v>
      </c>
      <c r="M401" s="1793">
        <f>'Part III-Sources of Funds'!M24</f>
        <v>0</v>
      </c>
      <c r="N401" s="1862"/>
      <c r="O401" s="1862"/>
      <c r="P401" s="1778"/>
      <c r="Q401" s="1778"/>
      <c r="R401" s="1790"/>
      <c r="S401" s="1844">
        <f>'Part III-Sources of Funds'!S24</f>
        <v>0</v>
      </c>
      <c r="T401" s="1844">
        <f>'Part III-Sources of Funds'!T24</f>
        <v>0</v>
      </c>
    </row>
    <row r="402" spans="1:20" ht="13.8">
      <c r="A402" s="1778"/>
      <c r="B402" s="1778" t="s">
        <v>630</v>
      </c>
      <c r="C402" s="1778"/>
      <c r="D402" s="1778"/>
      <c r="E402" s="1778"/>
      <c r="F402" s="1790"/>
      <c r="G402" s="1790"/>
      <c r="H402" s="1780">
        <f>'Part III-Sources of Funds'!H25</f>
        <v>0</v>
      </c>
      <c r="I402" s="1780">
        <f>'Part III-Sources of Funds'!I25</f>
        <v>0</v>
      </c>
      <c r="J402" s="1780">
        <f>'Part III-Sources of Funds'!J25</f>
        <v>0</v>
      </c>
      <c r="K402" s="1780">
        <f>'Part III-Sources of Funds'!K25</f>
        <v>0</v>
      </c>
      <c r="L402" s="1793">
        <f>'Part III-Sources of Funds'!L25</f>
        <v>0</v>
      </c>
      <c r="M402" s="1793">
        <f>'Part III-Sources of Funds'!M25</f>
        <v>0</v>
      </c>
      <c r="N402" s="1862"/>
      <c r="O402" s="1862"/>
      <c r="P402" s="1778"/>
      <c r="Q402" s="1778"/>
      <c r="R402" s="1790"/>
      <c r="S402" s="1844">
        <f>'Part III-Sources of Funds'!S25</f>
        <v>0</v>
      </c>
      <c r="T402" s="1844">
        <f>'Part III-Sources of Funds'!T25</f>
        <v>0</v>
      </c>
    </row>
    <row r="403" spans="1:20" ht="13.8">
      <c r="A403" s="1778"/>
      <c r="B403" s="1778" t="s">
        <v>790</v>
      </c>
      <c r="C403" s="1778"/>
      <c r="D403" s="1778"/>
      <c r="E403" s="1778"/>
      <c r="F403" s="1790"/>
      <c r="G403" s="1790"/>
      <c r="H403" s="1780">
        <f>'Part III-Sources of Funds'!H26</f>
        <v>0</v>
      </c>
      <c r="I403" s="1780">
        <f>'Part III-Sources of Funds'!I26</f>
        <v>0</v>
      </c>
      <c r="J403" s="1780">
        <f>'Part III-Sources of Funds'!J26</f>
        <v>0</v>
      </c>
      <c r="K403" s="1780">
        <f>'Part III-Sources of Funds'!K26</f>
        <v>0</v>
      </c>
      <c r="L403" s="1793">
        <f>'Part III-Sources of Funds'!L26</f>
        <v>4909138.6500000004</v>
      </c>
      <c r="M403" s="1793">
        <f>'Part III-Sources of Funds'!M26</f>
        <v>0</v>
      </c>
      <c r="N403" s="1778"/>
      <c r="O403" s="1790"/>
      <c r="P403" s="1790"/>
      <c r="Q403" s="1778"/>
      <c r="R403" s="1790"/>
      <c r="S403" s="1844">
        <f>'Part III-Sources of Funds'!S26</f>
        <v>0</v>
      </c>
      <c r="T403" s="1844">
        <f>'Part III-Sources of Funds'!T26</f>
        <v>0</v>
      </c>
    </row>
    <row r="404" spans="1:20" ht="13.8">
      <c r="A404" s="1778"/>
      <c r="B404" s="1778" t="s">
        <v>791</v>
      </c>
      <c r="C404" s="1778"/>
      <c r="D404" s="1778"/>
      <c r="E404" s="1778"/>
      <c r="F404" s="1790"/>
      <c r="G404" s="1790"/>
      <c r="H404" s="1780">
        <f>'Part III-Sources of Funds'!H27</f>
        <v>0</v>
      </c>
      <c r="I404" s="1780">
        <f>'Part III-Sources of Funds'!I27</f>
        <v>0</v>
      </c>
      <c r="J404" s="1780">
        <f>'Part III-Sources of Funds'!J27</f>
        <v>0</v>
      </c>
      <c r="K404" s="1780">
        <f>'Part III-Sources of Funds'!K27</f>
        <v>0</v>
      </c>
      <c r="L404" s="1793">
        <f>'Part III-Sources of Funds'!L27</f>
        <v>3068211.9</v>
      </c>
      <c r="M404" s="1793">
        <f>'Part III-Sources of Funds'!M27</f>
        <v>0</v>
      </c>
      <c r="N404" s="1778"/>
      <c r="O404" s="1790"/>
      <c r="P404" s="1790"/>
      <c r="Q404" s="1778"/>
      <c r="R404" s="1790"/>
      <c r="S404" s="1844">
        <f>'Part III-Sources of Funds'!S27</f>
        <v>0</v>
      </c>
      <c r="T404" s="1844">
        <f>'Part III-Sources of Funds'!T27</f>
        <v>0</v>
      </c>
    </row>
    <row r="405" spans="1:20" ht="13.8">
      <c r="A405" s="1778"/>
      <c r="B405" s="1778" t="s">
        <v>239</v>
      </c>
      <c r="C405" s="1778"/>
      <c r="D405" s="1780">
        <f>'Part III-Sources of Funds'!D28</f>
        <v>0</v>
      </c>
      <c r="E405" s="1780">
        <f>'Part III-Sources of Funds'!E28</f>
        <v>0</v>
      </c>
      <c r="F405" s="1780">
        <f>'Part III-Sources of Funds'!F28</f>
        <v>0</v>
      </c>
      <c r="G405" s="1780">
        <f>'Part III-Sources of Funds'!G28</f>
        <v>0</v>
      </c>
      <c r="H405" s="1780">
        <f>'Part III-Sources of Funds'!H28</f>
        <v>0</v>
      </c>
      <c r="I405" s="1780">
        <f>'Part III-Sources of Funds'!I28</f>
        <v>0</v>
      </c>
      <c r="J405" s="1780">
        <f>'Part III-Sources of Funds'!J28</f>
        <v>0</v>
      </c>
      <c r="K405" s="1780">
        <f>'Part III-Sources of Funds'!K28</f>
        <v>0</v>
      </c>
      <c r="L405" s="1793">
        <f>'Part III-Sources of Funds'!L28</f>
        <v>0</v>
      </c>
      <c r="M405" s="1793">
        <f>'Part III-Sources of Funds'!M28</f>
        <v>0</v>
      </c>
      <c r="N405" s="1778"/>
      <c r="O405" s="1790"/>
      <c r="P405" s="1790"/>
      <c r="Q405" s="1778"/>
      <c r="R405" s="1790"/>
      <c r="S405" s="1844">
        <f>'Part III-Sources of Funds'!S28</f>
        <v>0</v>
      </c>
      <c r="T405" s="1844">
        <f>'Part III-Sources of Funds'!T28</f>
        <v>0</v>
      </c>
    </row>
    <row r="406" spans="1:20" ht="13.8">
      <c r="A406" s="1778"/>
      <c r="B406" s="1778" t="s">
        <v>239</v>
      </c>
      <c r="C406" s="1778"/>
      <c r="D406" s="1780">
        <f>'Part III-Sources of Funds'!D29</f>
        <v>0</v>
      </c>
      <c r="E406" s="1780">
        <f>'Part III-Sources of Funds'!E29</f>
        <v>0</v>
      </c>
      <c r="F406" s="1780">
        <f>'Part III-Sources of Funds'!F29</f>
        <v>0</v>
      </c>
      <c r="G406" s="1780">
        <f>'Part III-Sources of Funds'!G29</f>
        <v>0</v>
      </c>
      <c r="H406" s="1780">
        <f>'Part III-Sources of Funds'!H29</f>
        <v>0</v>
      </c>
      <c r="I406" s="1780">
        <f>'Part III-Sources of Funds'!I29</f>
        <v>0</v>
      </c>
      <c r="J406" s="1780">
        <f>'Part III-Sources of Funds'!J29</f>
        <v>0</v>
      </c>
      <c r="K406" s="1780">
        <f>'Part III-Sources of Funds'!K29</f>
        <v>0</v>
      </c>
      <c r="L406" s="1793">
        <f>'Part III-Sources of Funds'!L29</f>
        <v>0</v>
      </c>
      <c r="M406" s="1793">
        <f>'Part III-Sources of Funds'!M29</f>
        <v>0</v>
      </c>
      <c r="N406" s="1778"/>
      <c r="O406" s="1790"/>
      <c r="P406" s="1790"/>
      <c r="Q406" s="1790"/>
      <c r="R406" s="1790"/>
      <c r="S406" s="1844">
        <f>'Part III-Sources of Funds'!S29</f>
        <v>0</v>
      </c>
      <c r="T406" s="1844">
        <f>'Part III-Sources of Funds'!T29</f>
        <v>0</v>
      </c>
    </row>
    <row r="407" spans="1:20" ht="13.8">
      <c r="A407" s="1778"/>
      <c r="B407" s="1778" t="s">
        <v>239</v>
      </c>
      <c r="C407" s="1778"/>
      <c r="D407" s="1780">
        <f>'Part III-Sources of Funds'!D30</f>
        <v>0</v>
      </c>
      <c r="E407" s="1780">
        <f>'Part III-Sources of Funds'!E30</f>
        <v>0</v>
      </c>
      <c r="F407" s="1780">
        <f>'Part III-Sources of Funds'!F30</f>
        <v>0</v>
      </c>
      <c r="G407" s="1780">
        <f>'Part III-Sources of Funds'!G30</f>
        <v>0</v>
      </c>
      <c r="H407" s="1780">
        <f>'Part III-Sources of Funds'!H30</f>
        <v>0</v>
      </c>
      <c r="I407" s="1780">
        <f>'Part III-Sources of Funds'!I30</f>
        <v>0</v>
      </c>
      <c r="J407" s="1780">
        <f>'Part III-Sources of Funds'!J30</f>
        <v>0</v>
      </c>
      <c r="K407" s="1780">
        <f>'Part III-Sources of Funds'!K30</f>
        <v>0</v>
      </c>
      <c r="L407" s="1793">
        <f>'Part III-Sources of Funds'!L30</f>
        <v>0</v>
      </c>
      <c r="M407" s="1793">
        <f>'Part III-Sources of Funds'!M30</f>
        <v>0</v>
      </c>
      <c r="N407" s="1778"/>
      <c r="O407" s="1790"/>
      <c r="P407" s="1790"/>
      <c r="Q407" s="1790"/>
      <c r="R407" s="1790"/>
      <c r="S407" s="1844">
        <f>'Part III-Sources of Funds'!S30</f>
        <v>0</v>
      </c>
      <c r="T407" s="1844">
        <f>'Part III-Sources of Funds'!T30</f>
        <v>0</v>
      </c>
    </row>
    <row r="408" spans="1:20" ht="13.8">
      <c r="A408" s="1778"/>
      <c r="B408" s="1781" t="s">
        <v>1283</v>
      </c>
      <c r="C408" s="1778"/>
      <c r="D408" s="1778"/>
      <c r="E408" s="1778"/>
      <c r="F408" s="1778"/>
      <c r="G408" s="1778"/>
      <c r="H408" s="1778"/>
      <c r="I408" s="1778"/>
      <c r="J408" s="1790"/>
      <c r="K408" s="1790"/>
      <c r="L408" s="1864">
        <f>SUM(L397:L407)</f>
        <v>13219244.550000001</v>
      </c>
      <c r="M408" s="1864"/>
      <c r="N408" s="1787"/>
      <c r="O408" s="1790"/>
      <c r="P408" s="1790"/>
      <c r="Q408" s="1790"/>
      <c r="R408" s="1790"/>
      <c r="S408" s="1844">
        <f>'Part III-Sources of Funds'!S31</f>
        <v>0</v>
      </c>
      <c r="T408" s="1844">
        <f>'Part III-Sources of Funds'!T31</f>
        <v>0</v>
      </c>
    </row>
    <row r="409" spans="1:20" ht="13.8">
      <c r="A409" s="1778"/>
      <c r="B409" s="1781" t="s">
        <v>1284</v>
      </c>
      <c r="C409" s="1778"/>
      <c r="D409" s="1778"/>
      <c r="E409" s="1778"/>
      <c r="F409" s="1778"/>
      <c r="G409" s="1778"/>
      <c r="H409" s="1778"/>
      <c r="I409" s="1778"/>
      <c r="J409" s="1790"/>
      <c r="K409" s="1790"/>
      <c r="L409" s="186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13219245</v>
      </c>
      <c r="M409" s="1864"/>
      <c r="N409" s="1831"/>
      <c r="O409" s="1790"/>
      <c r="P409" s="1790"/>
      <c r="Q409" s="1790"/>
      <c r="R409" s="1790"/>
      <c r="S409" s="1844">
        <f>'Part III-Sources of Funds'!S32</f>
        <v>0</v>
      </c>
      <c r="T409" s="1844">
        <f>'Part III-Sources of Funds'!T32</f>
        <v>0</v>
      </c>
    </row>
    <row r="410" spans="1:20" ht="13.8">
      <c r="A410" s="1778"/>
      <c r="B410" s="1781" t="s">
        <v>2130</v>
      </c>
      <c r="C410" s="1778"/>
      <c r="D410" s="1778"/>
      <c r="E410" s="1778"/>
      <c r="F410" s="1778"/>
      <c r="G410" s="1778"/>
      <c r="H410" s="1778"/>
      <c r="I410" s="1778"/>
      <c r="J410" s="1790"/>
      <c r="K410" s="1790"/>
      <c r="L410" s="1812">
        <f>L408-L409</f>
        <v>-0.44999999925494194</v>
      </c>
      <c r="M410" s="1812"/>
      <c r="N410" s="1831"/>
      <c r="O410" s="1790"/>
      <c r="P410" s="1790"/>
      <c r="Q410" s="1790"/>
      <c r="R410" s="1790"/>
      <c r="S410" s="1844">
        <f>'Part III-Sources of Funds'!S33</f>
        <v>0</v>
      </c>
      <c r="T410" s="1844">
        <f>'Part III-Sources of Funds'!T33</f>
        <v>0</v>
      </c>
    </row>
    <row r="411" spans="1:20" ht="13.8">
      <c r="A411" s="1787"/>
      <c r="B411" s="1781"/>
      <c r="C411" s="1787"/>
      <c r="D411" s="1787"/>
      <c r="E411" s="1787"/>
      <c r="F411" s="1787"/>
      <c r="G411" s="1787"/>
      <c r="H411" s="1787"/>
      <c r="I411" s="1787"/>
      <c r="J411" s="1787"/>
      <c r="K411" s="1787"/>
      <c r="L411" s="1787"/>
      <c r="M411" s="1779"/>
      <c r="N411" s="1779"/>
      <c r="O411" s="1858"/>
      <c r="P411" s="1858"/>
      <c r="Q411" s="1858"/>
      <c r="R411" s="1858"/>
      <c r="S411" s="1858"/>
      <c r="T411" s="1858"/>
    </row>
    <row r="412" spans="1:20" ht="13.8">
      <c r="A412" s="1778" t="s">
        <v>731</v>
      </c>
      <c r="B412" s="1781" t="s">
        <v>788</v>
      </c>
      <c r="C412" s="1787"/>
      <c r="D412" s="1787"/>
      <c r="E412" s="1787"/>
      <c r="F412" s="1787"/>
      <c r="G412" s="1787"/>
      <c r="H412" s="1787"/>
      <c r="I412" s="1787"/>
      <c r="J412" s="1787"/>
      <c r="K412" s="1787"/>
      <c r="L412" s="1787"/>
      <c r="M412" s="1779"/>
      <c r="N412" s="1779"/>
      <c r="O412" s="1787"/>
      <c r="P412" s="1858"/>
      <c r="Q412" s="1858"/>
      <c r="R412" s="1858"/>
      <c r="S412" s="1790" t="str">
        <f>B412</f>
        <v>PERMANENT FINANCING</v>
      </c>
      <c r="T412" s="1858"/>
    </row>
    <row r="413" spans="1:20" ht="13.5" customHeight="1">
      <c r="A413" s="1778"/>
      <c r="B413" s="1778"/>
      <c r="C413" s="1778"/>
      <c r="D413" s="1778"/>
      <c r="E413" s="1778"/>
      <c r="F413" s="1779"/>
      <c r="G413" s="1779"/>
      <c r="H413" s="1778"/>
      <c r="I413" s="1778"/>
      <c r="J413" s="1790"/>
      <c r="K413" s="1802" t="s">
        <v>2073</v>
      </c>
      <c r="L413" s="1779" t="s">
        <v>1280</v>
      </c>
      <c r="M413" s="1779" t="s">
        <v>1285</v>
      </c>
      <c r="N413" s="1790"/>
      <c r="O413" s="1790"/>
      <c r="P413" s="1831" t="s">
        <v>32</v>
      </c>
      <c r="Q413" s="1831"/>
      <c r="R413" s="1790"/>
      <c r="S413" s="1790"/>
      <c r="T413" s="1790"/>
    </row>
    <row r="414" spans="1:20" ht="13.8">
      <c r="A414" s="1778"/>
      <c r="B414" s="1781" t="s">
        <v>1845</v>
      </c>
      <c r="C414" s="1778"/>
      <c r="D414" s="1778"/>
      <c r="E414" s="1778" t="s">
        <v>1282</v>
      </c>
      <c r="F414" s="1778"/>
      <c r="G414" s="1778"/>
      <c r="H414" s="1778"/>
      <c r="I414" s="1778" t="s">
        <v>4625</v>
      </c>
      <c r="J414" s="1778"/>
      <c r="K414" s="1779" t="s">
        <v>1782</v>
      </c>
      <c r="L414" s="1779" t="s">
        <v>2186</v>
      </c>
      <c r="M414" s="1779" t="s">
        <v>2186</v>
      </c>
      <c r="N414" s="1778" t="s">
        <v>72</v>
      </c>
      <c r="O414" s="1778"/>
      <c r="P414" s="1831"/>
      <c r="Q414" s="1831"/>
      <c r="R414" s="1790"/>
      <c r="S414" s="1860" t="s">
        <v>2646</v>
      </c>
      <c r="T414" s="1860"/>
    </row>
    <row r="415" spans="1:20" ht="27.6">
      <c r="A415" s="1778"/>
      <c r="B415" s="1778" t="s">
        <v>2580</v>
      </c>
      <c r="C415" s="1778"/>
      <c r="D415" s="1778"/>
      <c r="E415" s="1780" t="str">
        <f>'Part III-Sources of Funds'!E38</f>
        <v>Bank of America</v>
      </c>
      <c r="F415" s="1780">
        <f>'Part III-Sources of Funds'!F38</f>
        <v>0</v>
      </c>
      <c r="G415" s="1780">
        <f>'Part III-Sources of Funds'!G38</f>
        <v>0</v>
      </c>
      <c r="H415" s="1780">
        <f>'Part III-Sources of Funds'!H38</f>
        <v>0</v>
      </c>
      <c r="I415" s="1812">
        <f>'Part III-Sources of Funds'!I38</f>
        <v>2400000</v>
      </c>
      <c r="J415" s="1778">
        <f>'Part III-Sources of Funds'!J38</f>
        <v>0</v>
      </c>
      <c r="K415" s="1865">
        <f>'Part III-Sources of Funds'!K38</f>
        <v>6.5000000000000002E-2</v>
      </c>
      <c r="L415" s="1779">
        <f>'Part III-Sources of Funds'!L38</f>
        <v>15</v>
      </c>
      <c r="M415" s="1779">
        <f>'Part III-Sources of Funds'!M38</f>
        <v>35</v>
      </c>
      <c r="N415" s="1778" t="str">
        <f>'Part III-Sources of Funds'!N38</f>
        <v>Amortizing</v>
      </c>
      <c r="O415" s="1778">
        <f>'Part III-Sources of Funds'!O38</f>
        <v>0</v>
      </c>
      <c r="P415" s="1864">
        <f>'Part III-Sources of Funds'!P38</f>
        <v>173996.44355885265</v>
      </c>
      <c r="Q415" s="1864">
        <f>'Part III-Sources of Funds'!Q38</f>
        <v>0</v>
      </c>
      <c r="R415" s="1790"/>
      <c r="S415" s="1844">
        <f>'Part III-Sources of Funds'!S38</f>
        <v>0</v>
      </c>
      <c r="T415" s="1844">
        <f>'Part III-Sources of Funds'!T38</f>
        <v>0</v>
      </c>
    </row>
    <row r="416" spans="1:20" ht="13.8">
      <c r="A416" s="1778"/>
      <c r="B416" s="1778" t="s">
        <v>2581</v>
      </c>
      <c r="C416" s="1778"/>
      <c r="D416" s="1778"/>
      <c r="E416" s="1780" t="str">
        <f>'Part III-Sources of Funds'!E39</f>
        <v>Invest Atlanta</v>
      </c>
      <c r="F416" s="1780">
        <f>'Part III-Sources of Funds'!F39</f>
        <v>0</v>
      </c>
      <c r="G416" s="1780">
        <f>'Part III-Sources of Funds'!G39</f>
        <v>0</v>
      </c>
      <c r="H416" s="1780">
        <f>'Part III-Sources of Funds'!H39</f>
        <v>0</v>
      </c>
      <c r="I416" s="1812">
        <f>'Part III-Sources of Funds'!I39</f>
        <v>1200000</v>
      </c>
      <c r="J416" s="1778">
        <f>'Part III-Sources of Funds'!J39</f>
        <v>0</v>
      </c>
      <c r="K416" s="1865">
        <f>'Part III-Sources of Funds'!K39</f>
        <v>0.01</v>
      </c>
      <c r="L416" s="1779">
        <f>'Part III-Sources of Funds'!L39</f>
        <v>40</v>
      </c>
      <c r="M416" s="1779">
        <f>'Part III-Sources of Funds'!M39</f>
        <v>40</v>
      </c>
      <c r="N416" s="1778" t="str">
        <f>'Part III-Sources of Funds'!N39</f>
        <v>Cash Flow</v>
      </c>
      <c r="O416" s="1778">
        <f>'Part III-Sources of Funds'!O39</f>
        <v>0</v>
      </c>
      <c r="P416" s="1864">
        <f>'Part III-Sources of Funds'!P39</f>
        <v>0</v>
      </c>
      <c r="Q416" s="1864">
        <f>'Part III-Sources of Funds'!Q39</f>
        <v>0</v>
      </c>
      <c r="R416" s="1790"/>
      <c r="S416" s="1844">
        <f>'Part III-Sources of Funds'!S39</f>
        <v>0</v>
      </c>
      <c r="T416" s="1844">
        <f>'Part III-Sources of Funds'!T39</f>
        <v>0</v>
      </c>
    </row>
    <row r="417" spans="1:20" ht="13.8">
      <c r="A417" s="1778"/>
      <c r="B417" s="1778" t="s">
        <v>2582</v>
      </c>
      <c r="C417" s="1778"/>
      <c r="D417" s="1778"/>
      <c r="E417" s="1780">
        <f>'Part III-Sources of Funds'!E40</f>
        <v>0</v>
      </c>
      <c r="F417" s="1780">
        <f>'Part III-Sources of Funds'!F40</f>
        <v>0</v>
      </c>
      <c r="G417" s="1780">
        <f>'Part III-Sources of Funds'!G40</f>
        <v>0</v>
      </c>
      <c r="H417" s="1780">
        <f>'Part III-Sources of Funds'!H40</f>
        <v>0</v>
      </c>
      <c r="I417" s="1812">
        <f>'Part III-Sources of Funds'!I40</f>
        <v>0</v>
      </c>
      <c r="J417" s="1778">
        <f>'Part III-Sources of Funds'!J40</f>
        <v>0</v>
      </c>
      <c r="K417" s="1865">
        <f>'Part III-Sources of Funds'!K40</f>
        <v>0</v>
      </c>
      <c r="L417" s="1779">
        <f>'Part III-Sources of Funds'!L40</f>
        <v>0</v>
      </c>
      <c r="M417" s="1779">
        <f>'Part III-Sources of Funds'!M40</f>
        <v>0</v>
      </c>
      <c r="N417" s="1778">
        <f>'Part III-Sources of Funds'!N40</f>
        <v>0</v>
      </c>
      <c r="O417" s="1778">
        <f>'Part III-Sources of Funds'!O40</f>
        <v>0</v>
      </c>
      <c r="P417" s="1864" t="str">
        <f>'Part III-Sources of Funds'!P40</f>
        <v/>
      </c>
      <c r="Q417" s="1864">
        <f>'Part III-Sources of Funds'!Q40</f>
        <v>0</v>
      </c>
      <c r="R417" s="1790"/>
      <c r="S417" s="1844">
        <f>'Part III-Sources of Funds'!S40</f>
        <v>0</v>
      </c>
      <c r="T417" s="1844">
        <f>'Part III-Sources of Funds'!T40</f>
        <v>0</v>
      </c>
    </row>
    <row r="418" spans="1:20" ht="13.8">
      <c r="A418" s="1778"/>
      <c r="B418" s="1778" t="s">
        <v>730</v>
      </c>
      <c r="C418" s="1780">
        <f>'Part III-Sources of Funds'!C41</f>
        <v>0</v>
      </c>
      <c r="D418" s="1780">
        <f>'Part III-Sources of Funds'!D41</f>
        <v>0</v>
      </c>
      <c r="E418" s="1780">
        <f>'Part III-Sources of Funds'!E41</f>
        <v>0</v>
      </c>
      <c r="F418" s="1780">
        <f>'Part III-Sources of Funds'!F41</f>
        <v>0</v>
      </c>
      <c r="G418" s="1780">
        <f>'Part III-Sources of Funds'!G41</f>
        <v>0</v>
      </c>
      <c r="H418" s="1780">
        <f>'Part III-Sources of Funds'!H41</f>
        <v>0</v>
      </c>
      <c r="I418" s="1812">
        <f>'Part III-Sources of Funds'!I41</f>
        <v>0</v>
      </c>
      <c r="J418" s="1812">
        <f>'Part III-Sources of Funds'!J41</f>
        <v>0</v>
      </c>
      <c r="K418" s="1865">
        <f>'Part III-Sources of Funds'!K41</f>
        <v>0</v>
      </c>
      <c r="L418" s="1779">
        <f>'Part III-Sources of Funds'!L41</f>
        <v>0</v>
      </c>
      <c r="M418" s="1779">
        <f>'Part III-Sources of Funds'!M41</f>
        <v>0</v>
      </c>
      <c r="N418" s="1778">
        <f>'Part III-Sources of Funds'!N41</f>
        <v>0</v>
      </c>
      <c r="O418" s="1778">
        <f>'Part III-Sources of Funds'!O41</f>
        <v>0</v>
      </c>
      <c r="P418" s="1864" t="str">
        <f>'Part III-Sources of Funds'!P41</f>
        <v/>
      </c>
      <c r="Q418" s="1864">
        <f>'Part III-Sources of Funds'!Q41</f>
        <v>0</v>
      </c>
      <c r="R418" s="1790"/>
      <c r="S418" s="1844">
        <f>'Part III-Sources of Funds'!S41</f>
        <v>0</v>
      </c>
      <c r="T418" s="1844">
        <f>'Part III-Sources of Funds'!T41</f>
        <v>0</v>
      </c>
    </row>
    <row r="419" spans="1:20" ht="13.8">
      <c r="A419" s="1778"/>
      <c r="B419" s="1778" t="s">
        <v>2705</v>
      </c>
      <c r="C419" s="1778"/>
      <c r="D419" s="1778"/>
      <c r="E419" s="1780">
        <f>'Part III-Sources of Funds'!E42</f>
        <v>0</v>
      </c>
      <c r="F419" s="1780">
        <f>'Part III-Sources of Funds'!F42</f>
        <v>0</v>
      </c>
      <c r="G419" s="1780">
        <f>'Part III-Sources of Funds'!G42</f>
        <v>0</v>
      </c>
      <c r="H419" s="1780">
        <f>'Part III-Sources of Funds'!H42</f>
        <v>0</v>
      </c>
      <c r="I419" s="1812">
        <f>'Part III-Sources of Funds'!I42</f>
        <v>0</v>
      </c>
      <c r="J419" s="1778">
        <f>'Part III-Sources of Funds'!J42</f>
        <v>0</v>
      </c>
      <c r="K419" s="1865"/>
      <c r="L419" s="1779"/>
      <c r="M419" s="1779"/>
      <c r="N419" s="1778"/>
      <c r="O419" s="1778"/>
      <c r="P419" s="1864"/>
      <c r="Q419" s="1864"/>
      <c r="R419" s="1790"/>
      <c r="S419" s="1844">
        <f>'Part III-Sources of Funds'!S42</f>
        <v>0</v>
      </c>
      <c r="T419" s="1844">
        <f>'Part III-Sources of Funds'!T42</f>
        <v>0</v>
      </c>
    </row>
    <row r="420" spans="1:20" ht="13.8">
      <c r="A420" s="1778"/>
      <c r="B420" s="1778" t="s">
        <v>225</v>
      </c>
      <c r="C420" s="1778"/>
      <c r="D420" s="1866" t="str">
        <f>'Part III-Sources of Funds'!D43</f>
        <v/>
      </c>
      <c r="E420" s="1780">
        <f>'Part III-Sources of Funds'!E43</f>
        <v>0</v>
      </c>
      <c r="F420" s="1780">
        <f>'Part III-Sources of Funds'!F43</f>
        <v>0</v>
      </c>
      <c r="G420" s="1780">
        <f>'Part III-Sources of Funds'!G43</f>
        <v>0</v>
      </c>
      <c r="H420" s="1780">
        <f>'Part III-Sources of Funds'!H43</f>
        <v>0</v>
      </c>
      <c r="I420" s="1830">
        <f>'Part III-Sources of Funds'!I43</f>
        <v>0</v>
      </c>
      <c r="J420" s="1830">
        <f>'Part III-Sources of Funds'!J43</f>
        <v>0</v>
      </c>
      <c r="K420" s="1865">
        <f>'Part III-Sources of Funds'!K43</f>
        <v>0</v>
      </c>
      <c r="L420" s="1779">
        <f>'Part III-Sources of Funds'!L43</f>
        <v>0</v>
      </c>
      <c r="M420" s="1779">
        <f>'Part III-Sources of Funds'!M43</f>
        <v>0</v>
      </c>
      <c r="N420" s="1778">
        <f>'Part III-Sources of Funds'!N43</f>
        <v>0</v>
      </c>
      <c r="O420" s="1778">
        <f>'Part III-Sources of Funds'!O43</f>
        <v>0</v>
      </c>
      <c r="P420" s="1864" t="str">
        <f>'Part III-Sources of Funds'!P43</f>
        <v/>
      </c>
      <c r="Q420" s="1864">
        <f>'Part III-Sources of Funds'!Q43</f>
        <v>0</v>
      </c>
      <c r="R420" s="1790"/>
      <c r="S420" s="1844">
        <f>'Part III-Sources of Funds'!S43</f>
        <v>0</v>
      </c>
      <c r="T420" s="1844">
        <f>'Part III-Sources of Funds'!T43</f>
        <v>0</v>
      </c>
    </row>
    <row r="421" spans="1:20" ht="13.8">
      <c r="A421" s="1778"/>
      <c r="B421" s="1778"/>
      <c r="C421" s="1778"/>
      <c r="D421" s="1778"/>
      <c r="E421" s="1778"/>
      <c r="F421" s="1778"/>
      <c r="G421" s="1778"/>
      <c r="H421" s="1778"/>
      <c r="I421" s="1834"/>
      <c r="J421" s="1867"/>
      <c r="K421" s="1865"/>
      <c r="L421" s="1779"/>
      <c r="M421" s="1779"/>
      <c r="N421" s="1868"/>
      <c r="O421" s="1868"/>
      <c r="P421" s="1779"/>
      <c r="Q421" s="1779"/>
      <c r="R421" s="1790"/>
      <c r="S421" s="1844"/>
      <c r="T421" s="1844"/>
    </row>
    <row r="422" spans="1:20" ht="13.8">
      <c r="A422" s="1778"/>
      <c r="B422" s="1790" t="s">
        <v>3979</v>
      </c>
      <c r="C422" s="1778"/>
      <c r="D422" s="1790"/>
      <c r="E422" s="1790" t="s">
        <v>3903</v>
      </c>
      <c r="F422" s="1869" t="str">
        <f>'Part III-Sources of Funds'!F45</f>
        <v/>
      </c>
      <c r="G422" s="1790">
        <f>'Part III-Sources of Funds'!G45</f>
        <v>0</v>
      </c>
      <c r="H422" s="1870" t="s">
        <v>3978</v>
      </c>
      <c r="I422" s="1869" t="str">
        <f>'Part III-Sources of Funds'!I45</f>
        <v/>
      </c>
      <c r="J422" s="1790">
        <f>'Part III-Sources of Funds'!J45</f>
        <v>0</v>
      </c>
      <c r="K422" s="1870" t="s">
        <v>3980</v>
      </c>
      <c r="L422" s="1871" t="str">
        <f>'Part III-Sources of Funds'!L45</f>
        <v/>
      </c>
      <c r="M422" s="1871">
        <f>'Part III-Sources of Funds'!M45</f>
        <v>0</v>
      </c>
      <c r="N422" s="1864" t="s">
        <v>4637</v>
      </c>
      <c r="O422" s="1864"/>
      <c r="P422" s="1830">
        <f>'Part III-Sources of Funds'!P45</f>
        <v>0</v>
      </c>
      <c r="Q422" s="1830">
        <f>'Part III-Sources of Funds'!Q45</f>
        <v>0</v>
      </c>
      <c r="R422" s="1790"/>
      <c r="S422" s="1844"/>
      <c r="T422" s="1844"/>
    </row>
    <row r="423" spans="1:20" ht="13.8">
      <c r="A423" s="1778"/>
      <c r="B423" s="1778"/>
      <c r="C423" s="1778"/>
      <c r="D423" s="1778"/>
      <c r="E423" s="1778"/>
      <c r="F423" s="1778"/>
      <c r="G423" s="1778"/>
      <c r="H423" s="1778"/>
      <c r="I423" s="1834"/>
      <c r="J423" s="1867"/>
      <c r="K423" s="1865"/>
      <c r="L423" s="1779"/>
      <c r="M423" s="1779"/>
      <c r="N423" s="1868"/>
      <c r="O423" s="1868"/>
      <c r="P423" s="1779"/>
      <c r="Q423" s="1779"/>
      <c r="R423" s="1790"/>
      <c r="S423" s="1844"/>
      <c r="T423" s="1844"/>
    </row>
    <row r="424" spans="1:20" ht="13.8">
      <c r="A424" s="1778"/>
      <c r="B424" s="1778" t="s">
        <v>2187</v>
      </c>
      <c r="C424" s="1778"/>
      <c r="D424" s="1778"/>
      <c r="E424" s="1780">
        <f>'Part III-Sources of Funds'!E47</f>
        <v>0</v>
      </c>
      <c r="F424" s="1780">
        <f>'Part III-Sources of Funds'!F47</f>
        <v>0</v>
      </c>
      <c r="G424" s="1780">
        <f>'Part III-Sources of Funds'!G47</f>
        <v>0</v>
      </c>
      <c r="H424" s="1780">
        <f>'Part III-Sources of Funds'!H47</f>
        <v>0</v>
      </c>
      <c r="I424" s="1812">
        <f>'Part III-Sources of Funds'!I47</f>
        <v>0</v>
      </c>
      <c r="J424" s="1778">
        <f>'Part III-Sources of Funds'!J47</f>
        <v>0</v>
      </c>
      <c r="K424" s="1778"/>
      <c r="L424" s="1778"/>
      <c r="M424" s="1778"/>
      <c r="N424" s="1778"/>
      <c r="O424" s="1778"/>
      <c r="P424" s="1778"/>
      <c r="Q424" s="1778"/>
      <c r="R424" s="1790"/>
      <c r="S424" s="1844">
        <f>'Part III-Sources of Funds'!S47</f>
        <v>0</v>
      </c>
      <c r="T424" s="1844">
        <f>'Part III-Sources of Funds'!T47</f>
        <v>0</v>
      </c>
    </row>
    <row r="425" spans="1:20" ht="13.8">
      <c r="A425" s="1778"/>
      <c r="B425" s="1778" t="s">
        <v>789</v>
      </c>
      <c r="C425" s="1778"/>
      <c r="D425" s="1778"/>
      <c r="E425" s="1780">
        <f>'Part III-Sources of Funds'!E48</f>
        <v>0</v>
      </c>
      <c r="F425" s="1780">
        <f>'Part III-Sources of Funds'!F48</f>
        <v>0</v>
      </c>
      <c r="G425" s="1780">
        <f>'Part III-Sources of Funds'!G48</f>
        <v>0</v>
      </c>
      <c r="H425" s="1780">
        <f>'Part III-Sources of Funds'!H48</f>
        <v>0</v>
      </c>
      <c r="I425" s="1812">
        <f>'Part III-Sources of Funds'!I48</f>
        <v>0</v>
      </c>
      <c r="J425" s="1778">
        <f>'Part III-Sources of Funds'!J48</f>
        <v>0</v>
      </c>
      <c r="K425" s="1790"/>
      <c r="L425" s="1872" t="s">
        <v>509</v>
      </c>
      <c r="M425" s="1872"/>
      <c r="N425" s="1873" t="s">
        <v>510</v>
      </c>
      <c r="O425" s="1873"/>
      <c r="P425" s="1779" t="s">
        <v>508</v>
      </c>
      <c r="Q425" s="1778"/>
      <c r="R425" s="1790"/>
      <c r="S425" s="1844">
        <f>'Part III-Sources of Funds'!S48</f>
        <v>0</v>
      </c>
      <c r="T425" s="1844">
        <f>'Part III-Sources of Funds'!T48</f>
        <v>0</v>
      </c>
    </row>
    <row r="426" spans="1:20" ht="13.8">
      <c r="A426" s="1778"/>
      <c r="B426" s="1778" t="s">
        <v>790</v>
      </c>
      <c r="C426" s="1778"/>
      <c r="D426" s="1778"/>
      <c r="E426" s="1780">
        <f>'Part III-Sources of Funds'!E49</f>
        <v>0</v>
      </c>
      <c r="F426" s="1780">
        <f>'Part III-Sources of Funds'!F49</f>
        <v>0</v>
      </c>
      <c r="G426" s="1780">
        <f>'Part III-Sources of Funds'!G49</f>
        <v>0</v>
      </c>
      <c r="H426" s="1780">
        <f>'Part III-Sources of Funds'!H49</f>
        <v>0</v>
      </c>
      <c r="I426" s="1812">
        <f>'Part III-Sources of Funds'!I49</f>
        <v>7552521</v>
      </c>
      <c r="J426" s="1812">
        <f>'Part III-Sources of Funds'!J49</f>
        <v>0</v>
      </c>
      <c r="K426" s="1790"/>
      <c r="L426" s="1874">
        <f>'Part IV-A-Uses of Funds'!$J$175*10*'Part IV-A-Uses of Funds'!$N$168</f>
        <v>7552520.7999999998</v>
      </c>
      <c r="M426" s="1874"/>
      <c r="N426" s="1875">
        <f>I426-L426</f>
        <v>0.20000000018626451</v>
      </c>
      <c r="O426" s="1875"/>
      <c r="P426" s="1876" t="s">
        <v>2527</v>
      </c>
      <c r="Q426" s="1778"/>
      <c r="R426" s="1790"/>
      <c r="S426" s="1844">
        <f>'Part III-Sources of Funds'!S49</f>
        <v>0</v>
      </c>
      <c r="T426" s="1844">
        <f>'Part III-Sources of Funds'!T49</f>
        <v>0</v>
      </c>
    </row>
    <row r="427" spans="1:20" ht="13.8">
      <c r="A427" s="1778"/>
      <c r="B427" s="1778" t="s">
        <v>791</v>
      </c>
      <c r="C427" s="1778"/>
      <c r="D427" s="1778"/>
      <c r="E427" s="1780">
        <f>'Part III-Sources of Funds'!E50</f>
        <v>0</v>
      </c>
      <c r="F427" s="1780">
        <f>'Part III-Sources of Funds'!F50</f>
        <v>0</v>
      </c>
      <c r="G427" s="1780">
        <f>'Part III-Sources of Funds'!G50</f>
        <v>0</v>
      </c>
      <c r="H427" s="1780">
        <f>'Part III-Sources of Funds'!H50</f>
        <v>0</v>
      </c>
      <c r="I427" s="1812">
        <f>'Part III-Sources of Funds'!I50</f>
        <v>4720326</v>
      </c>
      <c r="J427" s="1812">
        <f>'Part III-Sources of Funds'!J50</f>
        <v>0</v>
      </c>
      <c r="K427" s="1790"/>
      <c r="L427" s="1874">
        <f>'Part IV-A-Uses of Funds'!$J$175*10*'Part IV-A-Uses of Funds'!$Q$168</f>
        <v>4720325.5</v>
      </c>
      <c r="M427" s="1874"/>
      <c r="N427" s="1875">
        <f>I427-L427</f>
        <v>0.5</v>
      </c>
      <c r="O427" s="1875"/>
      <c r="P427" s="1877">
        <f>I426/I436</f>
        <v>0.47581388518392448</v>
      </c>
      <c r="Q427" s="1778"/>
      <c r="R427" s="1790"/>
      <c r="S427" s="1844">
        <f>'Part III-Sources of Funds'!S50</f>
        <v>0</v>
      </c>
      <c r="T427" s="1844">
        <f>'Part III-Sources of Funds'!T50</f>
        <v>0</v>
      </c>
    </row>
    <row r="428" spans="1:20" ht="13.8">
      <c r="A428" s="1778"/>
      <c r="B428" s="1778" t="s">
        <v>1395</v>
      </c>
      <c r="C428" s="1778"/>
      <c r="D428" s="1778"/>
      <c r="E428" s="1780">
        <f>'Part III-Sources of Funds'!E51</f>
        <v>0</v>
      </c>
      <c r="F428" s="1780">
        <f>'Part III-Sources of Funds'!F51</f>
        <v>0</v>
      </c>
      <c r="G428" s="1780">
        <f>'Part III-Sources of Funds'!G51</f>
        <v>0</v>
      </c>
      <c r="H428" s="1780">
        <f>'Part III-Sources of Funds'!H51</f>
        <v>0</v>
      </c>
      <c r="I428" s="1812">
        <f>'Part III-Sources of Funds'!I51</f>
        <v>0</v>
      </c>
      <c r="J428" s="1812">
        <f>'Part III-Sources of Funds'!J51</f>
        <v>0</v>
      </c>
      <c r="K428" s="1790"/>
      <c r="L428" s="1790"/>
      <c r="M428" s="1790"/>
      <c r="N428" s="1790"/>
      <c r="O428" s="1790"/>
      <c r="P428" s="1877">
        <f>I427/I436</f>
        <v>0.29738370186520413</v>
      </c>
      <c r="Q428" s="1778"/>
      <c r="R428" s="1790"/>
      <c r="S428" s="1844">
        <f>'Part III-Sources of Funds'!S51</f>
        <v>0</v>
      </c>
      <c r="T428" s="1844">
        <f>'Part III-Sources of Funds'!T51</f>
        <v>0</v>
      </c>
    </row>
    <row r="429" spans="1:20" ht="13.8">
      <c r="A429" s="1778"/>
      <c r="B429" s="1778" t="s">
        <v>523</v>
      </c>
      <c r="C429" s="1778"/>
      <c r="D429" s="1778"/>
      <c r="E429" s="1780">
        <f>'Part III-Sources of Funds'!E52</f>
        <v>0</v>
      </c>
      <c r="F429" s="1780">
        <f>'Part III-Sources of Funds'!F52</f>
        <v>0</v>
      </c>
      <c r="G429" s="1780">
        <f>'Part III-Sources of Funds'!G52</f>
        <v>0</v>
      </c>
      <c r="H429" s="1780">
        <f>'Part III-Sources of Funds'!H52</f>
        <v>0</v>
      </c>
      <c r="I429" s="1812">
        <f>'Part III-Sources of Funds'!I52</f>
        <v>0</v>
      </c>
      <c r="J429" s="1812">
        <f>'Part III-Sources of Funds'!J52</f>
        <v>0</v>
      </c>
      <c r="K429" s="1778"/>
      <c r="L429" s="1790"/>
      <c r="M429" s="1790"/>
      <c r="N429" s="1790"/>
      <c r="O429" s="1790"/>
      <c r="P429" s="1877">
        <f>SUM(P427:P428)</f>
        <v>0.77319758704912855</v>
      </c>
      <c r="Q429" s="1778"/>
      <c r="R429" s="1790"/>
      <c r="S429" s="1844">
        <f>'Part III-Sources of Funds'!S52</f>
        <v>0</v>
      </c>
      <c r="T429" s="1844">
        <f>'Part III-Sources of Funds'!T52</f>
        <v>0</v>
      </c>
    </row>
    <row r="430" spans="1:20" ht="13.8">
      <c r="A430" s="1778"/>
      <c r="B430" s="1778" t="s">
        <v>1843</v>
      </c>
      <c r="C430" s="1778"/>
      <c r="D430" s="1778"/>
      <c r="E430" s="1780">
        <f>'Part III-Sources of Funds'!E53</f>
        <v>0</v>
      </c>
      <c r="F430" s="1780">
        <f>'Part III-Sources of Funds'!F53</f>
        <v>0</v>
      </c>
      <c r="G430" s="1780">
        <f>'Part III-Sources of Funds'!G53</f>
        <v>0</v>
      </c>
      <c r="H430" s="1780">
        <f>'Part III-Sources of Funds'!H53</f>
        <v>0</v>
      </c>
      <c r="I430" s="1812">
        <f>'Part III-Sources of Funds'!I53</f>
        <v>0</v>
      </c>
      <c r="J430" s="1812">
        <f>'Part III-Sources of Funds'!J53</f>
        <v>0</v>
      </c>
      <c r="K430" s="1790"/>
      <c r="L430" s="1790"/>
      <c r="M430" s="1790"/>
      <c r="N430" s="1780"/>
      <c r="O430" s="1780"/>
      <c r="P430" s="1780"/>
      <c r="Q430" s="1778"/>
      <c r="R430" s="1790"/>
      <c r="S430" s="1844">
        <f>'Part III-Sources of Funds'!S53</f>
        <v>0</v>
      </c>
      <c r="T430" s="1844">
        <f>'Part III-Sources of Funds'!T53</f>
        <v>0</v>
      </c>
    </row>
    <row r="431" spans="1:20" ht="13.8">
      <c r="A431" s="1778"/>
      <c r="B431" s="1778" t="s">
        <v>1844</v>
      </c>
      <c r="C431" s="1778"/>
      <c r="D431" s="1778"/>
      <c r="E431" s="1780">
        <f>'Part III-Sources of Funds'!E54</f>
        <v>0</v>
      </c>
      <c r="F431" s="1780">
        <f>'Part III-Sources of Funds'!F54</f>
        <v>0</v>
      </c>
      <c r="G431" s="1780">
        <f>'Part III-Sources of Funds'!G54</f>
        <v>0</v>
      </c>
      <c r="H431" s="1780">
        <f>'Part III-Sources of Funds'!H54</f>
        <v>0</v>
      </c>
      <c r="I431" s="1812">
        <f>'Part III-Sources of Funds'!I54</f>
        <v>0</v>
      </c>
      <c r="J431" s="1812">
        <f>'Part III-Sources of Funds'!J54</f>
        <v>0</v>
      </c>
      <c r="K431" s="1790"/>
      <c r="L431" s="1790"/>
      <c r="M431" s="1780"/>
      <c r="N431" s="1780"/>
      <c r="O431" s="1780"/>
      <c r="P431" s="1780"/>
      <c r="Q431" s="1778"/>
      <c r="R431" s="1790"/>
      <c r="S431" s="1844">
        <f>'Part III-Sources of Funds'!S54</f>
        <v>0</v>
      </c>
      <c r="T431" s="1844">
        <f>'Part III-Sources of Funds'!T54</f>
        <v>0</v>
      </c>
    </row>
    <row r="432" spans="1:20" ht="13.8">
      <c r="A432" s="1778"/>
      <c r="B432" s="1778" t="s">
        <v>730</v>
      </c>
      <c r="C432" s="1780">
        <f>'Part III-Sources of Funds'!C55</f>
        <v>0</v>
      </c>
      <c r="D432" s="1780">
        <f>'Part III-Sources of Funds'!D55</f>
        <v>0</v>
      </c>
      <c r="E432" s="1780">
        <f>'Part III-Sources of Funds'!E55</f>
        <v>0</v>
      </c>
      <c r="F432" s="1780">
        <f>'Part III-Sources of Funds'!F55</f>
        <v>0</v>
      </c>
      <c r="G432" s="1780">
        <f>'Part III-Sources of Funds'!G55</f>
        <v>0</v>
      </c>
      <c r="H432" s="1780">
        <f>'Part III-Sources of Funds'!H55</f>
        <v>0</v>
      </c>
      <c r="I432" s="1812">
        <f>'Part III-Sources of Funds'!I55</f>
        <v>0</v>
      </c>
      <c r="J432" s="1812">
        <f>'Part III-Sources of Funds'!J55</f>
        <v>0</v>
      </c>
      <c r="K432" s="1790"/>
      <c r="L432" s="1790"/>
      <c r="M432" s="1780"/>
      <c r="N432" s="1780"/>
      <c r="O432" s="1780"/>
      <c r="P432" s="1780"/>
      <c r="Q432" s="1778"/>
      <c r="R432" s="1790"/>
      <c r="S432" s="1844">
        <f>'Part III-Sources of Funds'!S55</f>
        <v>0</v>
      </c>
      <c r="T432" s="1844">
        <f>'Part III-Sources of Funds'!T55</f>
        <v>0</v>
      </c>
    </row>
    <row r="433" spans="1:24" ht="13.8">
      <c r="A433" s="1778"/>
      <c r="B433" s="1778" t="s">
        <v>730</v>
      </c>
      <c r="C433" s="1780">
        <f>'Part III-Sources of Funds'!C56</f>
        <v>0</v>
      </c>
      <c r="D433" s="1780">
        <f>'Part III-Sources of Funds'!D56</f>
        <v>0</v>
      </c>
      <c r="E433" s="1780">
        <f>'Part III-Sources of Funds'!E56</f>
        <v>0</v>
      </c>
      <c r="F433" s="1780">
        <f>'Part III-Sources of Funds'!F56</f>
        <v>0</v>
      </c>
      <c r="G433" s="1780">
        <f>'Part III-Sources of Funds'!G56</f>
        <v>0</v>
      </c>
      <c r="H433" s="1780">
        <f>'Part III-Sources of Funds'!H56</f>
        <v>0</v>
      </c>
      <c r="I433" s="1812">
        <f>'Part III-Sources of Funds'!I56</f>
        <v>0</v>
      </c>
      <c r="J433" s="1812">
        <f>'Part III-Sources of Funds'!J56</f>
        <v>0</v>
      </c>
      <c r="K433" s="1778"/>
      <c r="L433" s="1779"/>
      <c r="M433" s="1780"/>
      <c r="N433" s="1780"/>
      <c r="O433" s="1780"/>
      <c r="P433" s="1780"/>
      <c r="Q433" s="1778"/>
      <c r="R433" s="1790"/>
      <c r="S433" s="1844">
        <f>'Part III-Sources of Funds'!S56</f>
        <v>0</v>
      </c>
      <c r="T433" s="1844">
        <f>'Part III-Sources of Funds'!T56</f>
        <v>0</v>
      </c>
    </row>
    <row r="434" spans="1:24" ht="13.8">
      <c r="A434" s="1778"/>
      <c r="B434" s="1778" t="s">
        <v>730</v>
      </c>
      <c r="C434" s="1780">
        <f>'Part III-Sources of Funds'!C57</f>
        <v>0</v>
      </c>
      <c r="D434" s="1780">
        <f>'Part III-Sources of Funds'!D57</f>
        <v>0</v>
      </c>
      <c r="E434" s="1780">
        <f>'Part III-Sources of Funds'!E57</f>
        <v>0</v>
      </c>
      <c r="F434" s="1780">
        <f>'Part III-Sources of Funds'!F57</f>
        <v>0</v>
      </c>
      <c r="G434" s="1780">
        <f>'Part III-Sources of Funds'!G57</f>
        <v>0</v>
      </c>
      <c r="H434" s="1780">
        <f>'Part III-Sources of Funds'!H57</f>
        <v>0</v>
      </c>
      <c r="I434" s="1812">
        <f>'Part III-Sources of Funds'!I57</f>
        <v>0</v>
      </c>
      <c r="J434" s="1812">
        <f>'Part III-Sources of Funds'!J57</f>
        <v>0</v>
      </c>
      <c r="K434" s="1778"/>
      <c r="L434" s="1779"/>
      <c r="M434" s="1780"/>
      <c r="N434" s="1780"/>
      <c r="O434" s="1780"/>
      <c r="P434" s="1780"/>
      <c r="Q434" s="1778"/>
      <c r="R434" s="1790"/>
      <c r="S434" s="1844">
        <f>'Part III-Sources of Funds'!S57</f>
        <v>0</v>
      </c>
      <c r="T434" s="1844">
        <f>'Part III-Sources of Funds'!T57</f>
        <v>0</v>
      </c>
    </row>
    <row r="435" spans="1:24" ht="13.8">
      <c r="A435" s="1778"/>
      <c r="B435" s="1781" t="s">
        <v>2188</v>
      </c>
      <c r="C435" s="1778"/>
      <c r="D435" s="1778"/>
      <c r="E435" s="1778"/>
      <c r="F435" s="1778"/>
      <c r="G435" s="1778"/>
      <c r="H435" s="1790"/>
      <c r="I435" s="1864">
        <f>SUM(I415:J420)+SUM(I424:J434)</f>
        <v>15872847</v>
      </c>
      <c r="J435" s="1864"/>
      <c r="K435" s="1778"/>
      <c r="L435" s="1779"/>
      <c r="M435" s="1780"/>
      <c r="N435" s="1780"/>
      <c r="O435" s="1780"/>
      <c r="P435" s="1780"/>
      <c r="Q435" s="1778"/>
      <c r="R435" s="1790"/>
      <c r="S435" s="1844">
        <f>'Part III-Sources of Funds'!S58</f>
        <v>0</v>
      </c>
      <c r="T435" s="1844">
        <f>'Part III-Sources of Funds'!T58</f>
        <v>0</v>
      </c>
    </row>
    <row r="436" spans="1:24" ht="13.8">
      <c r="A436" s="1778"/>
      <c r="B436" s="1781" t="s">
        <v>2189</v>
      </c>
      <c r="C436" s="1778"/>
      <c r="D436" s="1778"/>
      <c r="E436" s="1778"/>
      <c r="F436" s="1778"/>
      <c r="G436" s="1778"/>
      <c r="H436" s="1790"/>
      <c r="I436" s="1864">
        <f>'Part IV-A-Uses of Funds'!$G$132</f>
        <v>15872847</v>
      </c>
      <c r="J436" s="1864"/>
      <c r="K436" s="1778"/>
      <c r="L436" s="1779"/>
      <c r="M436" s="1780"/>
      <c r="N436" s="1780"/>
      <c r="O436" s="1780"/>
      <c r="P436" s="1780"/>
      <c r="Q436" s="1778"/>
      <c r="R436" s="1790"/>
      <c r="S436" s="1844">
        <f>'Part III-Sources of Funds'!S59</f>
        <v>0</v>
      </c>
      <c r="T436" s="1844">
        <f>'Part III-Sources of Funds'!T59</f>
        <v>0</v>
      </c>
    </row>
    <row r="437" spans="1:24" ht="13.8">
      <c r="A437" s="1778"/>
      <c r="B437" s="1781" t="s">
        <v>1507</v>
      </c>
      <c r="C437" s="1778"/>
      <c r="D437" s="1778"/>
      <c r="E437" s="1778"/>
      <c r="F437" s="1778"/>
      <c r="G437" s="1778"/>
      <c r="H437" s="1790"/>
      <c r="I437" s="1812">
        <f>I435-I436</f>
        <v>0</v>
      </c>
      <c r="J437" s="1812"/>
      <c r="K437" s="1778"/>
      <c r="L437" s="1779"/>
      <c r="M437" s="1780"/>
      <c r="N437" s="1780"/>
      <c r="O437" s="1780"/>
      <c r="P437" s="1780"/>
      <c r="Q437" s="1778"/>
      <c r="R437" s="1790"/>
      <c r="S437" s="1844">
        <f>'Part III-Sources of Funds'!S60</f>
        <v>0</v>
      </c>
      <c r="T437" s="1844">
        <f>'Part III-Sources of Funds'!T60</f>
        <v>0</v>
      </c>
    </row>
    <row r="438" spans="1:24" ht="13.8">
      <c r="A438" s="1778" t="s">
        <v>3401</v>
      </c>
      <c r="B438" s="1781"/>
      <c r="C438" s="1778"/>
      <c r="D438" s="1778"/>
      <c r="E438" s="1778"/>
      <c r="F438" s="1778"/>
      <c r="G438" s="1778"/>
      <c r="H438" s="1867"/>
      <c r="I438" s="1867"/>
      <c r="J438" s="1787"/>
      <c r="K438" s="1778"/>
      <c r="L438" s="1779"/>
      <c r="M438" s="1780"/>
      <c r="N438" s="1780"/>
      <c r="O438" s="1780"/>
      <c r="P438" s="1780"/>
      <c r="Q438" s="1778"/>
      <c r="R438" s="1778"/>
      <c r="S438" s="1778"/>
      <c r="T438" s="1778"/>
    </row>
    <row r="439" spans="1:24" ht="13.8">
      <c r="A439" s="1787"/>
      <c r="B439" s="1787"/>
      <c r="C439" s="1787"/>
      <c r="D439" s="1787"/>
      <c r="E439" s="1787"/>
      <c r="F439" s="1787"/>
      <c r="G439" s="1787"/>
      <c r="H439" s="1787"/>
      <c r="I439" s="1787"/>
      <c r="J439" s="1787"/>
      <c r="K439" s="1787"/>
      <c r="L439" s="1787"/>
      <c r="M439" s="1787"/>
      <c r="N439" s="1787"/>
      <c r="O439" s="1787"/>
      <c r="P439" s="1787"/>
      <c r="Q439" s="1787"/>
      <c r="R439" s="1858"/>
      <c r="S439" s="1858"/>
      <c r="T439" s="1858"/>
    </row>
    <row r="440" spans="1:24" ht="13.8">
      <c r="A440" s="1778" t="s">
        <v>1770</v>
      </c>
      <c r="B440" s="1778" t="s">
        <v>562</v>
      </c>
      <c r="C440" s="1787"/>
      <c r="D440" s="1787"/>
      <c r="E440" s="1787"/>
      <c r="F440" s="1787"/>
      <c r="G440" s="1787"/>
      <c r="H440" s="1787"/>
      <c r="I440" s="1787"/>
      <c r="J440" s="1787"/>
      <c r="K440" s="1858"/>
      <c r="L440" s="1858"/>
      <c r="M440" s="1778" t="s">
        <v>1770</v>
      </c>
      <c r="N440" s="1778" t="s">
        <v>77</v>
      </c>
      <c r="O440" s="1787"/>
      <c r="P440" s="1787"/>
      <c r="Q440" s="1787"/>
      <c r="R440" s="1858"/>
      <c r="S440" s="1858"/>
      <c r="T440" s="1858"/>
    </row>
    <row r="441" spans="1:24" ht="15.75" customHeight="1">
      <c r="A441" s="1844" t="str">
        <f>'Part III-Sources of Funds'!A64</f>
        <v>The construction loan, permanent loan, and equity commitments are included in Tab 1. 
The project will consist of 13 market rate units.  Per DCA's requirement, the developer must have conventional financing or unrestricted sources to cover any and all costs directly associated with the market rate units. The percentage of market rate units must be less than or equal to the permanent financing loan to total development cost percentage.  The TDC is $15,872,847 which equates to $188,962 per unit.  
When multiplying the per unit cost of $188,962 times the 13 market rate units it equals the total cost of the market rate units at $2,456,512.  The project has $3.6 MM in conventional, unrestricted debt; thus, complying with DCA's Market Unit policy.</v>
      </c>
      <c r="B441" s="1844">
        <f>'Part III-Sources of Funds'!B64</f>
        <v>0</v>
      </c>
      <c r="C441" s="1844">
        <f>'Part III-Sources of Funds'!C64</f>
        <v>0</v>
      </c>
      <c r="D441" s="1844">
        <f>'Part III-Sources of Funds'!D64</f>
        <v>0</v>
      </c>
      <c r="E441" s="1844">
        <f>'Part III-Sources of Funds'!E64</f>
        <v>0</v>
      </c>
      <c r="F441" s="1844">
        <f>'Part III-Sources of Funds'!F64</f>
        <v>0</v>
      </c>
      <c r="G441" s="1844">
        <f>'Part III-Sources of Funds'!G64</f>
        <v>0</v>
      </c>
      <c r="H441" s="1844">
        <f>'Part III-Sources of Funds'!H64</f>
        <v>0</v>
      </c>
      <c r="I441" s="1844">
        <f>'Part III-Sources of Funds'!I64</f>
        <v>0</v>
      </c>
      <c r="J441" s="1844">
        <f>'Part III-Sources of Funds'!J64</f>
        <v>0</v>
      </c>
      <c r="K441" s="1844">
        <f>'Part III-Sources of Funds'!K64</f>
        <v>0</v>
      </c>
      <c r="L441" s="1844">
        <f>'Part III-Sources of Funds'!L64</f>
        <v>0</v>
      </c>
      <c r="M441" s="1844">
        <f>'Part III-Sources of Funds'!M64</f>
        <v>0</v>
      </c>
      <c r="N441" s="1844">
        <f>'Part III-Sources of Funds'!N64</f>
        <v>0</v>
      </c>
      <c r="O441" s="1844">
        <f>'Part III-Sources of Funds'!O64</f>
        <v>0</v>
      </c>
      <c r="P441" s="1844">
        <f>'Part III-Sources of Funds'!P64</f>
        <v>0</v>
      </c>
      <c r="Q441" s="1844">
        <f>'Part III-Sources of Funds'!Q64</f>
        <v>0</v>
      </c>
      <c r="R441" s="1858"/>
      <c r="S441" s="1878" t="s">
        <v>2655</v>
      </c>
      <c r="T441" s="1878"/>
    </row>
    <row r="446" spans="1:24" ht="13.8">
      <c r="A446" s="1778" t="str">
        <f>CONCATENATE("PART FOUR -  USES OF FUNDS","  -  ",'Part I-Project Information'!$O$6," ",'Part I-Project Information'!$F$34,", ",'Part I-Project Information'!F483,", ",'Part I-Project Information'!J484," County")</f>
        <v>PART FOUR -  USES OF FUNDS  -  2019-063 Haven at South Atlanta, ,  County</v>
      </c>
      <c r="B446" s="1778"/>
      <c r="C446" s="1778"/>
      <c r="D446" s="1778"/>
      <c r="E446" s="1778"/>
      <c r="F446" s="1778"/>
      <c r="G446" s="1778"/>
      <c r="H446" s="1778"/>
      <c r="I446" s="1778"/>
      <c r="J446" s="1778"/>
      <c r="K446" s="1778"/>
      <c r="L446" s="1778"/>
      <c r="M446" s="1778"/>
      <c r="N446" s="1778"/>
      <c r="O446" s="1778"/>
      <c r="P446" s="1778"/>
      <c r="Q446" s="1778"/>
      <c r="R446" s="1778"/>
      <c r="S446" s="1778"/>
      <c r="T446" s="1778"/>
      <c r="U446" s="1778"/>
      <c r="V446" s="1778"/>
      <c r="W446" s="1778" t="str">
        <f>A446</f>
        <v>PART FOUR -  USES OF FUNDS  -  2019-063 Haven at South Atlanta, ,  County</v>
      </c>
      <c r="X446" s="1778"/>
    </row>
    <row r="447" spans="1:24" ht="13.8">
      <c r="A447" s="1787"/>
      <c r="B447" s="1787"/>
      <c r="C447" s="1787"/>
      <c r="D447" s="1787"/>
      <c r="E447" s="1787"/>
      <c r="F447" s="1787"/>
      <c r="G447" s="1787"/>
      <c r="H447" s="1787"/>
      <c r="I447" s="1787"/>
      <c r="J447" s="1787"/>
      <c r="K447" s="1787"/>
      <c r="L447" s="1787"/>
      <c r="M447" s="1787"/>
      <c r="N447" s="1787"/>
      <c r="O447" s="1787"/>
      <c r="P447" s="1787"/>
      <c r="Q447" s="1787"/>
      <c r="R447" s="1787"/>
      <c r="S447" s="1787"/>
      <c r="T447" s="1787"/>
      <c r="U447" s="1787"/>
      <c r="V447" s="1787"/>
      <c r="W447" s="1787"/>
      <c r="X447" s="1787"/>
    </row>
    <row r="448" spans="1:24" ht="13.8">
      <c r="A448" s="1778"/>
      <c r="B448" s="1778"/>
      <c r="C448" s="1778"/>
      <c r="D448" s="1778"/>
      <c r="E448" s="1778"/>
      <c r="F448" s="1778"/>
      <c r="G448" s="1778"/>
      <c r="H448" s="1778"/>
      <c r="I448" s="1778"/>
      <c r="J448" s="1778"/>
      <c r="K448" s="1778"/>
      <c r="L448" s="1778"/>
      <c r="M448" s="1778"/>
      <c r="N448" s="1778"/>
      <c r="O448" s="1778"/>
      <c r="P448" s="1778"/>
      <c r="Q448" s="1778"/>
      <c r="R448" s="1778"/>
      <c r="S448" s="1778"/>
      <c r="T448" s="1778"/>
      <c r="U448" s="1778"/>
      <c r="V448" s="1778"/>
      <c r="W448" s="1778"/>
      <c r="X448" s="1778"/>
    </row>
    <row r="449" spans="1:24" ht="13.8">
      <c r="A449" s="1779"/>
      <c r="B449" s="1779"/>
      <c r="C449" s="1779"/>
      <c r="D449" s="1879"/>
      <c r="E449" s="1879"/>
      <c r="F449" s="1879"/>
      <c r="G449" s="1879"/>
      <c r="H449" s="1879"/>
      <c r="I449" s="1778"/>
      <c r="J449" s="1779"/>
      <c r="K449" s="1779"/>
      <c r="L449" s="1779"/>
      <c r="M449" s="1779"/>
      <c r="N449" s="1779"/>
      <c r="O449" s="1779"/>
      <c r="P449" s="1779"/>
      <c r="Q449" s="1779"/>
      <c r="R449" s="1779"/>
      <c r="S449" s="1779"/>
      <c r="T449" s="1779"/>
      <c r="U449" s="1778"/>
      <c r="V449" s="1778"/>
      <c r="W449" s="1778"/>
      <c r="X449" s="1778"/>
    </row>
    <row r="450" spans="1:24" ht="17.25" customHeight="1">
      <c r="A450" s="1879" t="s">
        <v>605</v>
      </c>
      <c r="B450" s="1879" t="s">
        <v>887</v>
      </c>
      <c r="C450" s="1778"/>
      <c r="D450" s="1880" t="str">
        <f>'Part I-Project Information'!$B$6</f>
        <v>May 2019</v>
      </c>
      <c r="E450" s="1880"/>
      <c r="F450" s="1880"/>
      <c r="G450" s="1880"/>
      <c r="H450" s="1880"/>
      <c r="I450" s="1879"/>
      <c r="J450" s="1780" t="s">
        <v>268</v>
      </c>
      <c r="K450" s="1780"/>
      <c r="L450" s="1793"/>
      <c r="M450" s="1881" t="s">
        <v>484</v>
      </c>
      <c r="N450" s="1881"/>
      <c r="O450" s="1778"/>
      <c r="P450" s="1780" t="s">
        <v>269</v>
      </c>
      <c r="Q450" s="1780"/>
      <c r="R450" s="1778"/>
      <c r="S450" s="1780" t="s">
        <v>270</v>
      </c>
      <c r="T450" s="1780"/>
      <c r="U450" s="1778"/>
      <c r="V450" s="1882" t="str">
        <f>B450</f>
        <v>DEVELOPMENT BUDGET</v>
      </c>
      <c r="W450" s="1778"/>
      <c r="X450" s="1778"/>
    </row>
    <row r="451" spans="1:24" ht="13.8">
      <c r="A451" s="1778"/>
      <c r="B451" s="1778"/>
      <c r="C451" s="1778"/>
      <c r="D451" s="1880"/>
      <c r="E451" s="1880"/>
      <c r="F451" s="1880"/>
      <c r="G451" s="1778" t="s">
        <v>99</v>
      </c>
      <c r="H451" s="1778"/>
      <c r="I451" s="1778"/>
      <c r="J451" s="1780"/>
      <c r="K451" s="1780"/>
      <c r="L451" s="1793"/>
      <c r="M451" s="1881"/>
      <c r="N451" s="1881"/>
      <c r="O451" s="1778"/>
      <c r="P451" s="1780"/>
      <c r="Q451" s="1780"/>
      <c r="R451" s="1778"/>
      <c r="S451" s="1780"/>
      <c r="T451" s="1780"/>
      <c r="U451" s="1778"/>
      <c r="V451" s="1792" t="s">
        <v>2646</v>
      </c>
      <c r="W451" s="1778"/>
      <c r="X451" s="1792"/>
    </row>
    <row r="452" spans="1:24" ht="13.8">
      <c r="A452" s="1778"/>
      <c r="B452" s="1778" t="s">
        <v>100</v>
      </c>
      <c r="C452" s="1778"/>
      <c r="D452" s="1778"/>
      <c r="E452" s="1778"/>
      <c r="F452" s="1778"/>
      <c r="G452" s="1778"/>
      <c r="H452" s="1778"/>
      <c r="I452" s="1778"/>
      <c r="J452" s="1778"/>
      <c r="K452" s="1778"/>
      <c r="L452" s="1778"/>
      <c r="M452" s="1778"/>
      <c r="N452" s="1778"/>
      <c r="O452" s="1779" t="str">
        <f>B452</f>
        <v>PRE-DEVELOPMENT COSTS</v>
      </c>
      <c r="P452" s="1778"/>
      <c r="Q452" s="1778"/>
      <c r="R452" s="1778"/>
      <c r="S452" s="1778"/>
      <c r="T452" s="1778"/>
      <c r="U452" s="1778"/>
      <c r="V452" s="1778"/>
      <c r="W452" s="1778" t="str">
        <f>B452</f>
        <v>PRE-DEVELOPMENT COSTS</v>
      </c>
      <c r="X452" s="1778"/>
    </row>
    <row r="453" spans="1:24" ht="13.8">
      <c r="A453" s="1778"/>
      <c r="B453" s="1778" t="s">
        <v>1974</v>
      </c>
      <c r="C453" s="1778"/>
      <c r="D453" s="1778"/>
      <c r="E453" s="1778"/>
      <c r="F453" s="1778"/>
      <c r="G453" s="1793">
        <f>'Part IV-A-Uses of Funds'!G8</f>
        <v>8500</v>
      </c>
      <c r="H453" s="1793"/>
      <c r="I453" s="1778"/>
      <c r="J453" s="1793">
        <f>'Part IV-A-Uses of Funds'!J8</f>
        <v>8500</v>
      </c>
      <c r="K453" s="1793"/>
      <c r="L453" s="1807"/>
      <c r="M453" s="1793">
        <f>'Part IV-A-Uses of Funds'!M8</f>
        <v>0</v>
      </c>
      <c r="N453" s="1793"/>
      <c r="O453" s="1778"/>
      <c r="P453" s="1793">
        <f>'Part IV-A-Uses of Funds'!P8</f>
        <v>0</v>
      </c>
      <c r="Q453" s="1793"/>
      <c r="R453" s="1778"/>
      <c r="S453" s="1793">
        <f>'Part IV-A-Uses of Funds'!S8</f>
        <v>0</v>
      </c>
      <c r="T453" s="1793"/>
      <c r="U453" s="1778"/>
      <c r="V453" s="1883">
        <f>'Part IV-A-Uses of Funds'!V8</f>
        <v>0</v>
      </c>
      <c r="W453" s="1202">
        <f>'Part IV-A-Uses of Funds'!W8</f>
        <v>0</v>
      </c>
      <c r="X453" s="1202"/>
    </row>
    <row r="454" spans="1:24" ht="13.8">
      <c r="A454" s="1778"/>
      <c r="B454" s="1778" t="s">
        <v>453</v>
      </c>
      <c r="C454" s="1778"/>
      <c r="D454" s="1778"/>
      <c r="E454" s="1778"/>
      <c r="F454" s="1778"/>
      <c r="G454" s="1793">
        <f>'Part IV-A-Uses of Funds'!G9</f>
        <v>8500</v>
      </c>
      <c r="H454" s="1793"/>
      <c r="I454" s="1778"/>
      <c r="J454" s="1793">
        <f>'Part IV-A-Uses of Funds'!J9</f>
        <v>8500</v>
      </c>
      <c r="K454" s="1793"/>
      <c r="L454" s="1807"/>
      <c r="M454" s="1793">
        <f>'Part IV-A-Uses of Funds'!M9</f>
        <v>0</v>
      </c>
      <c r="N454" s="1793"/>
      <c r="O454" s="1778"/>
      <c r="P454" s="1793">
        <f>'Part IV-A-Uses of Funds'!P9</f>
        <v>0</v>
      </c>
      <c r="Q454" s="1793"/>
      <c r="R454" s="1778"/>
      <c r="S454" s="1793">
        <f>'Part IV-A-Uses of Funds'!S9</f>
        <v>0</v>
      </c>
      <c r="T454" s="1793"/>
      <c r="U454" s="1778"/>
      <c r="V454" s="1883">
        <f>'Part IV-A-Uses of Funds'!V9</f>
        <v>0</v>
      </c>
      <c r="W454" s="1202">
        <f>'Part IV-A-Uses of Funds'!W9</f>
        <v>0</v>
      </c>
      <c r="X454" s="1202"/>
    </row>
    <row r="455" spans="1:24" ht="13.8">
      <c r="A455" s="1778"/>
      <c r="B455" s="1778" t="s">
        <v>482</v>
      </c>
      <c r="C455" s="1778"/>
      <c r="D455" s="1778"/>
      <c r="E455" s="1778"/>
      <c r="F455" s="1778"/>
      <c r="G455" s="1793">
        <f>'Part IV-A-Uses of Funds'!G10</f>
        <v>45000</v>
      </c>
      <c r="H455" s="1793"/>
      <c r="I455" s="1778"/>
      <c r="J455" s="1793">
        <f>'Part IV-A-Uses of Funds'!J10</f>
        <v>45000</v>
      </c>
      <c r="K455" s="1793"/>
      <c r="L455" s="1807"/>
      <c r="M455" s="1793">
        <f>'Part IV-A-Uses of Funds'!M10</f>
        <v>0</v>
      </c>
      <c r="N455" s="1793"/>
      <c r="O455" s="1778"/>
      <c r="P455" s="1793">
        <f>'Part IV-A-Uses of Funds'!P10</f>
        <v>0</v>
      </c>
      <c r="Q455" s="1793"/>
      <c r="R455" s="1778"/>
      <c r="S455" s="1793">
        <f>'Part IV-A-Uses of Funds'!S10</f>
        <v>0</v>
      </c>
      <c r="T455" s="1793"/>
      <c r="U455" s="1778"/>
      <c r="V455" s="1883">
        <f>'Part IV-A-Uses of Funds'!V10</f>
        <v>0</v>
      </c>
      <c r="W455" s="1202">
        <f>'Part IV-A-Uses of Funds'!W10</f>
        <v>0</v>
      </c>
      <c r="X455" s="1202"/>
    </row>
    <row r="456" spans="1:24" ht="13.8">
      <c r="A456" s="1778"/>
      <c r="B456" s="1778" t="s">
        <v>483</v>
      </c>
      <c r="C456" s="1778"/>
      <c r="D456" s="1778"/>
      <c r="E456" s="1778"/>
      <c r="F456" s="1778"/>
      <c r="G456" s="1793">
        <f>'Part IV-A-Uses of Funds'!G11</f>
        <v>30000</v>
      </c>
      <c r="H456" s="1793"/>
      <c r="I456" s="1778"/>
      <c r="J456" s="1793">
        <f>'Part IV-A-Uses of Funds'!J11</f>
        <v>30000</v>
      </c>
      <c r="K456" s="1793"/>
      <c r="L456" s="1807"/>
      <c r="M456" s="1793">
        <f>'Part IV-A-Uses of Funds'!M11</f>
        <v>0</v>
      </c>
      <c r="N456" s="1793"/>
      <c r="O456" s="1778"/>
      <c r="P456" s="1793">
        <f>'Part IV-A-Uses of Funds'!P11</f>
        <v>0</v>
      </c>
      <c r="Q456" s="1793"/>
      <c r="R456" s="1778"/>
      <c r="S456" s="1793">
        <f>'Part IV-A-Uses of Funds'!S11</f>
        <v>0</v>
      </c>
      <c r="T456" s="1793"/>
      <c r="U456" s="1778"/>
      <c r="V456" s="1883">
        <f>'Part IV-A-Uses of Funds'!V11</f>
        <v>0</v>
      </c>
      <c r="W456" s="1202">
        <f>'Part IV-A-Uses of Funds'!W11</f>
        <v>0</v>
      </c>
      <c r="X456" s="1202"/>
    </row>
    <row r="457" spans="1:24" ht="13.8">
      <c r="A457" s="1778"/>
      <c r="B457" s="1778" t="s">
        <v>2467</v>
      </c>
      <c r="C457" s="1778"/>
      <c r="D457" s="1778"/>
      <c r="E457" s="1778"/>
      <c r="F457" s="1778"/>
      <c r="G457" s="1793">
        <f>'Part IV-A-Uses of Funds'!G12</f>
        <v>20000</v>
      </c>
      <c r="H457" s="1793"/>
      <c r="I457" s="1778"/>
      <c r="J457" s="1793">
        <f>'Part IV-A-Uses of Funds'!J12</f>
        <v>20000</v>
      </c>
      <c r="K457" s="1793"/>
      <c r="L457" s="1807"/>
      <c r="M457" s="1793">
        <f>'Part IV-A-Uses of Funds'!M12</f>
        <v>0</v>
      </c>
      <c r="N457" s="1793"/>
      <c r="O457" s="1778"/>
      <c r="P457" s="1793">
        <f>'Part IV-A-Uses of Funds'!P12</f>
        <v>0</v>
      </c>
      <c r="Q457" s="1793"/>
      <c r="R457" s="1778"/>
      <c r="S457" s="1793">
        <f>'Part IV-A-Uses of Funds'!S12</f>
        <v>0</v>
      </c>
      <c r="T457" s="1793"/>
      <c r="U457" s="1778"/>
      <c r="V457" s="1883">
        <f>'Part IV-A-Uses of Funds'!V12</f>
        <v>0</v>
      </c>
      <c r="W457" s="1202">
        <f>'Part IV-A-Uses of Funds'!W12</f>
        <v>0</v>
      </c>
      <c r="X457" s="1202"/>
    </row>
    <row r="458" spans="1:24" ht="13.8">
      <c r="A458" s="1778"/>
      <c r="B458" s="1778" t="s">
        <v>188</v>
      </c>
      <c r="C458" s="1778"/>
      <c r="D458" s="1778"/>
      <c r="E458" s="1778"/>
      <c r="F458" s="1778"/>
      <c r="G458" s="1793">
        <f>'Part IV-A-Uses of Funds'!G13</f>
        <v>0</v>
      </c>
      <c r="H458" s="1793"/>
      <c r="I458" s="1778"/>
      <c r="J458" s="1793">
        <f>'Part IV-A-Uses of Funds'!J13</f>
        <v>0</v>
      </c>
      <c r="K458" s="1793"/>
      <c r="L458" s="1807"/>
      <c r="M458" s="1793">
        <f>'Part IV-A-Uses of Funds'!M13</f>
        <v>0</v>
      </c>
      <c r="N458" s="1793"/>
      <c r="O458" s="1778"/>
      <c r="P458" s="1793">
        <f>'Part IV-A-Uses of Funds'!P13</f>
        <v>0</v>
      </c>
      <c r="Q458" s="1793"/>
      <c r="R458" s="1778"/>
      <c r="S458" s="1793">
        <f>'Part IV-A-Uses of Funds'!S13</f>
        <v>0</v>
      </c>
      <c r="T458" s="1793"/>
      <c r="U458" s="1778"/>
      <c r="V458" s="1883">
        <f>'Part IV-A-Uses of Funds'!V13</f>
        <v>0</v>
      </c>
      <c r="W458" s="1202">
        <f>'Part IV-A-Uses of Funds'!W13</f>
        <v>0</v>
      </c>
      <c r="X458" s="1202"/>
    </row>
    <row r="459" spans="1:24" ht="15.75" customHeight="1">
      <c r="A459" s="1884" t="str">
        <f>IF(AND(G459&gt;0,OR(C459="",C459="&lt;Enter detailed description here; use Comments section if needed&gt;")),"X","")</f>
        <v/>
      </c>
      <c r="B459" s="1778" t="s">
        <v>730</v>
      </c>
      <c r="C459" s="1795" t="str">
        <f>'Part IV-A-Uses of Funds'!C14</f>
        <v>&lt;&lt; Enter description here; provide detail &amp; justification in tab Part IV-b &gt;&gt;</v>
      </c>
      <c r="D459" s="1795"/>
      <c r="E459" s="1795"/>
      <c r="F459" s="1795"/>
      <c r="G459" s="1793">
        <f>'Part IV-A-Uses of Funds'!G14</f>
        <v>0</v>
      </c>
      <c r="H459" s="1793"/>
      <c r="I459" s="1778"/>
      <c r="J459" s="1793">
        <f>'Part IV-A-Uses of Funds'!J14</f>
        <v>0</v>
      </c>
      <c r="K459" s="1793"/>
      <c r="L459" s="1807"/>
      <c r="M459" s="1793">
        <f>'Part IV-A-Uses of Funds'!M14</f>
        <v>0</v>
      </c>
      <c r="N459" s="1793"/>
      <c r="O459" s="1778"/>
      <c r="P459" s="1793">
        <f>'Part IV-A-Uses of Funds'!P14</f>
        <v>0</v>
      </c>
      <c r="Q459" s="1793"/>
      <c r="R459" s="1778"/>
      <c r="S459" s="1793">
        <f>'Part IV-A-Uses of Funds'!S14</f>
        <v>0</v>
      </c>
      <c r="T459" s="1793"/>
      <c r="U459" s="1781" t="str">
        <f>IF(AND(G459&gt;0,OR(C459="",C459="&lt;Enter detailed description here; use Comments section if needed&gt;")),"NO DESCRIPTION PROVIDED - please enter detailed description in Other box at left; use Comments section below if needed.","")</f>
        <v/>
      </c>
      <c r="V459" s="1883">
        <f>'Part IV-A-Uses of Funds'!V14</f>
        <v>0</v>
      </c>
      <c r="W459" s="1202">
        <f>'Part IV-A-Uses of Funds'!W14</f>
        <v>0</v>
      </c>
      <c r="X459" s="1202"/>
    </row>
    <row r="460" spans="1:24" ht="15.75" customHeight="1">
      <c r="A460" s="1884" t="str">
        <f>IF(AND(G460&gt;0,OR(C460="",C460="&lt;Enter detailed description here; use Comments section if needed&gt;")),"X","")</f>
        <v/>
      </c>
      <c r="B460" s="1778" t="s">
        <v>730</v>
      </c>
      <c r="C460" s="1795" t="str">
        <f>'Part IV-A-Uses of Funds'!C15</f>
        <v>&lt;&lt; Enter description here; provide detail &amp; justification in tab Part IV-b &gt;&gt;</v>
      </c>
      <c r="D460" s="1795"/>
      <c r="E460" s="1795"/>
      <c r="F460" s="1795"/>
      <c r="G460" s="1793">
        <f>'Part IV-A-Uses of Funds'!G15</f>
        <v>0</v>
      </c>
      <c r="H460" s="1793"/>
      <c r="I460" s="1778"/>
      <c r="J460" s="1793">
        <f>'Part IV-A-Uses of Funds'!J15</f>
        <v>0</v>
      </c>
      <c r="K460" s="1793"/>
      <c r="L460" s="1807"/>
      <c r="M460" s="1793">
        <f>'Part IV-A-Uses of Funds'!M15</f>
        <v>0</v>
      </c>
      <c r="N460" s="1793"/>
      <c r="O460" s="1778"/>
      <c r="P460" s="1793">
        <f>'Part IV-A-Uses of Funds'!P15</f>
        <v>0</v>
      </c>
      <c r="Q460" s="1793"/>
      <c r="R460" s="1778"/>
      <c r="S460" s="1793">
        <f>'Part IV-A-Uses of Funds'!S15</f>
        <v>0</v>
      </c>
      <c r="T460" s="1793"/>
      <c r="U460" s="1781" t="str">
        <f>IF(AND(G460&gt;0,OR(C460="",C460="&lt;Enter detailed description here; use Comments section if needed&gt;")),"NO DESCRIPTION PROVIDED - please enter detailed description in Other box at left; use Comments section below if needed.","")</f>
        <v/>
      </c>
      <c r="V460" s="1883">
        <f>'Part IV-A-Uses of Funds'!V15</f>
        <v>0</v>
      </c>
      <c r="W460" s="1202">
        <f>'Part IV-A-Uses of Funds'!W15</f>
        <v>0</v>
      </c>
      <c r="X460" s="1202"/>
    </row>
    <row r="461" spans="1:24" ht="16.5" customHeight="1">
      <c r="A461" s="1884" t="str">
        <f>IF(AND(G461&gt;0,OR(C461="",C461="&lt;Enter detailed description here; use Comments section if needed&gt;")),"X","")</f>
        <v/>
      </c>
      <c r="B461" s="1778" t="s">
        <v>730</v>
      </c>
      <c r="C461" s="1795" t="str">
        <f>'Part IV-A-Uses of Funds'!C16</f>
        <v>&lt;&lt; Enter description here; provide detail &amp; justification in tab Part IV-b &gt;&gt;</v>
      </c>
      <c r="D461" s="1795"/>
      <c r="E461" s="1795"/>
      <c r="F461" s="1795"/>
      <c r="G461" s="1793">
        <f>'Part IV-A-Uses of Funds'!G16</f>
        <v>0</v>
      </c>
      <c r="H461" s="1793"/>
      <c r="I461" s="1778"/>
      <c r="J461" s="1793">
        <f>'Part IV-A-Uses of Funds'!J16</f>
        <v>0</v>
      </c>
      <c r="K461" s="1793"/>
      <c r="L461" s="1807"/>
      <c r="M461" s="1793">
        <f>'Part IV-A-Uses of Funds'!M16</f>
        <v>0</v>
      </c>
      <c r="N461" s="1793"/>
      <c r="O461" s="1778"/>
      <c r="P461" s="1793">
        <f>'Part IV-A-Uses of Funds'!P16</f>
        <v>0</v>
      </c>
      <c r="Q461" s="1793"/>
      <c r="R461" s="1778"/>
      <c r="S461" s="1793">
        <f>'Part IV-A-Uses of Funds'!S16</f>
        <v>0</v>
      </c>
      <c r="T461" s="1793"/>
      <c r="U461" s="1781" t="str">
        <f>IF(AND(G461&gt;0,OR(C461="",C461="&lt;Enter detailed description here; use Comments section if needed&gt;")),"NO DESCRIPTION PROVIDED - please enter detailed description in Other box at left; use Comments section below if needed.","")</f>
        <v/>
      </c>
      <c r="V461" s="1883">
        <f>'Part IV-A-Uses of Funds'!V16</f>
        <v>0</v>
      </c>
      <c r="W461" s="1202">
        <f>'Part IV-A-Uses of Funds'!W16</f>
        <v>0</v>
      </c>
      <c r="X461" s="1202"/>
    </row>
    <row r="462" spans="1:24" ht="13.8">
      <c r="A462" s="1778"/>
      <c r="B462" s="1778"/>
      <c r="C462" s="1778"/>
      <c r="D462" s="1778"/>
      <c r="E462" s="1778"/>
      <c r="F462" s="1885" t="s">
        <v>189</v>
      </c>
      <c r="G462" s="1793">
        <f>SUM(G453:H461)</f>
        <v>112000</v>
      </c>
      <c r="H462" s="1793"/>
      <c r="I462" s="1778"/>
      <c r="J462" s="1793">
        <f>SUM(J453:K461)</f>
        <v>112000</v>
      </c>
      <c r="K462" s="1792"/>
      <c r="L462" s="1807"/>
      <c r="M462" s="1793">
        <f>SUM(M453:N461)</f>
        <v>0</v>
      </c>
      <c r="N462" s="1793"/>
      <c r="O462" s="1778"/>
      <c r="P462" s="1793">
        <f>SUM(P453:Q461)</f>
        <v>0</v>
      </c>
      <c r="Q462" s="1793"/>
      <c r="R462" s="1778"/>
      <c r="S462" s="1793">
        <f>SUM(S453:T461)</f>
        <v>0</v>
      </c>
      <c r="T462" s="1793"/>
      <c r="U462" s="1778"/>
      <c r="V462" s="1883">
        <f>SUM(V453:V461)</f>
        <v>0</v>
      </c>
      <c r="W462" s="1202">
        <f>'Part IV-A-Uses of Funds'!W17</f>
        <v>0</v>
      </c>
      <c r="X462" s="1202"/>
    </row>
    <row r="463" spans="1:24" ht="13.8">
      <c r="A463" s="1778"/>
      <c r="B463" s="1778" t="s">
        <v>2170</v>
      </c>
      <c r="C463" s="1778"/>
      <c r="D463" s="1778"/>
      <c r="E463" s="1778"/>
      <c r="F463" s="1778"/>
      <c r="G463" s="1778"/>
      <c r="H463" s="1778"/>
      <c r="I463" s="1778"/>
      <c r="J463" s="1793"/>
      <c r="K463" s="1793"/>
      <c r="L463" s="1778"/>
      <c r="M463" s="1793"/>
      <c r="N463" s="1793"/>
      <c r="O463" s="1807" t="str">
        <f>B463</f>
        <v>ACQUISITION</v>
      </c>
      <c r="P463" s="1793"/>
      <c r="Q463" s="1793"/>
      <c r="R463" s="1778"/>
      <c r="S463" s="1793"/>
      <c r="T463" s="1793"/>
      <c r="U463" s="1778"/>
      <c r="V463" s="1883"/>
      <c r="W463" s="1778" t="str">
        <f>B463</f>
        <v>ACQUISITION</v>
      </c>
      <c r="X463" s="1778"/>
    </row>
    <row r="464" spans="1:24" ht="13.8">
      <c r="A464" s="1778"/>
      <c r="B464" s="1778" t="s">
        <v>2171</v>
      </c>
      <c r="C464" s="1778"/>
      <c r="D464" s="1778"/>
      <c r="E464" s="1886" t="s">
        <v>3622</v>
      </c>
      <c r="F464" s="1839">
        <f>IF('Part I-Project Information'!$O$37="","",G464/'Part I-Project Information'!$O$37)</f>
        <v>77208.153180975904</v>
      </c>
      <c r="G464" s="1793">
        <f>'Part IV-A-Uses of Funds'!G19</f>
        <v>300000</v>
      </c>
      <c r="H464" s="1793"/>
      <c r="I464" s="1778"/>
      <c r="J464" s="1807"/>
      <c r="K464" s="1793"/>
      <c r="L464" s="1807"/>
      <c r="M464" s="1807"/>
      <c r="N464" s="1793"/>
      <c r="O464" s="1778"/>
      <c r="P464" s="1807"/>
      <c r="Q464" s="1793"/>
      <c r="R464" s="1778"/>
      <c r="S464" s="1793">
        <f>'Part IV-A-Uses of Funds'!S19</f>
        <v>300000</v>
      </c>
      <c r="T464" s="1793"/>
      <c r="U464" s="1778"/>
      <c r="V464" s="1883">
        <f>'Part IV-A-Uses of Funds'!V19</f>
        <v>0</v>
      </c>
      <c r="W464" s="1202">
        <f>'Part IV-A-Uses of Funds'!W19</f>
        <v>0</v>
      </c>
      <c r="X464" s="1202"/>
    </row>
    <row r="465" spans="1:24" ht="13.8">
      <c r="A465" s="1778"/>
      <c r="B465" s="1778" t="s">
        <v>1106</v>
      </c>
      <c r="C465" s="1778"/>
      <c r="D465" s="1778"/>
      <c r="E465" s="1778"/>
      <c r="F465" s="1778"/>
      <c r="G465" s="1793">
        <f>'Part IV-A-Uses of Funds'!G20</f>
        <v>0</v>
      </c>
      <c r="H465" s="1793"/>
      <c r="I465" s="1778"/>
      <c r="J465" s="1807"/>
      <c r="K465" s="1793"/>
      <c r="L465" s="1807"/>
      <c r="M465" s="1807"/>
      <c r="N465" s="1793"/>
      <c r="O465" s="1778"/>
      <c r="P465" s="1807"/>
      <c r="Q465" s="1793"/>
      <c r="R465" s="1778"/>
      <c r="S465" s="1793">
        <f>'Part IV-A-Uses of Funds'!S20</f>
        <v>0</v>
      </c>
      <c r="T465" s="1793"/>
      <c r="U465" s="1778"/>
      <c r="V465" s="1883">
        <f>'Part IV-A-Uses of Funds'!V20</f>
        <v>0</v>
      </c>
      <c r="W465" s="1202">
        <f>'Part IV-A-Uses of Funds'!W20</f>
        <v>0</v>
      </c>
      <c r="X465" s="1202"/>
    </row>
    <row r="466" spans="1:24" ht="13.8">
      <c r="A466" s="1778"/>
      <c r="B466" s="1778" t="s">
        <v>454</v>
      </c>
      <c r="C466" s="1778"/>
      <c r="D466" s="1778"/>
      <c r="E466" s="1778"/>
      <c r="F466" s="1778"/>
      <c r="G466" s="1793">
        <f>'Part IV-A-Uses of Funds'!G21</f>
        <v>0</v>
      </c>
      <c r="H466" s="1793"/>
      <c r="I466" s="1778"/>
      <c r="J466" s="1807"/>
      <c r="K466" s="1793"/>
      <c r="L466" s="1807"/>
      <c r="M466" s="1793">
        <f>'Part IV-A-Uses of Funds'!M21</f>
        <v>0</v>
      </c>
      <c r="N466" s="1793"/>
      <c r="O466" s="1778"/>
      <c r="P466" s="1807"/>
      <c r="Q466" s="1793"/>
      <c r="R466" s="1778"/>
      <c r="S466" s="1793">
        <f>'Part IV-A-Uses of Funds'!S21</f>
        <v>0</v>
      </c>
      <c r="T466" s="1793"/>
      <c r="U466" s="1778"/>
      <c r="V466" s="1883">
        <f>'Part IV-A-Uses of Funds'!V21</f>
        <v>0</v>
      </c>
      <c r="W466" s="1202">
        <f>'Part IV-A-Uses of Funds'!W21</f>
        <v>0</v>
      </c>
      <c r="X466" s="1202"/>
    </row>
    <row r="467" spans="1:24" ht="13.8">
      <c r="A467" s="1778"/>
      <c r="B467" s="1778" t="s">
        <v>426</v>
      </c>
      <c r="C467" s="1778"/>
      <c r="D467" s="1778"/>
      <c r="E467" s="1778"/>
      <c r="F467" s="1778"/>
      <c r="G467" s="1793">
        <f>'Part IV-A-Uses of Funds'!G22</f>
        <v>0</v>
      </c>
      <c r="H467" s="1793"/>
      <c r="I467" s="1778"/>
      <c r="J467" s="1807"/>
      <c r="K467" s="1793"/>
      <c r="L467" s="1807"/>
      <c r="M467" s="1793">
        <f>'Part IV-A-Uses of Funds'!M22</f>
        <v>0</v>
      </c>
      <c r="N467" s="1793"/>
      <c r="O467" s="1778"/>
      <c r="P467" s="1807"/>
      <c r="Q467" s="1793"/>
      <c r="R467" s="1778"/>
      <c r="S467" s="1793">
        <f>'Part IV-A-Uses of Funds'!S22</f>
        <v>0</v>
      </c>
      <c r="T467" s="1793"/>
      <c r="U467" s="1778"/>
      <c r="V467" s="1883">
        <f>'Part IV-A-Uses of Funds'!V22</f>
        <v>0</v>
      </c>
      <c r="W467" s="1202">
        <f>'Part IV-A-Uses of Funds'!W22</f>
        <v>0</v>
      </c>
      <c r="X467" s="1202"/>
    </row>
    <row r="468" spans="1:24" ht="13.8">
      <c r="A468" s="1778"/>
      <c r="B468" s="1778"/>
      <c r="C468" s="1778"/>
      <c r="D468" s="1778"/>
      <c r="E468" s="1778"/>
      <c r="F468" s="1885" t="s">
        <v>189</v>
      </c>
      <c r="G468" s="1793">
        <f>SUM(G464:H467)</f>
        <v>300000</v>
      </c>
      <c r="H468" s="1793"/>
      <c r="I468" s="1778"/>
      <c r="J468" s="1807"/>
      <c r="K468" s="1793"/>
      <c r="L468" s="1807"/>
      <c r="M468" s="1793">
        <f>SUM(M466:N467)</f>
        <v>0</v>
      </c>
      <c r="N468" s="1793"/>
      <c r="O468" s="1778"/>
      <c r="P468" s="1807"/>
      <c r="Q468" s="1793"/>
      <c r="R468" s="1778"/>
      <c r="S468" s="1793">
        <f>SUM(S464:T467)</f>
        <v>300000</v>
      </c>
      <c r="T468" s="1793"/>
      <c r="U468" s="1778"/>
      <c r="V468" s="1883">
        <f>SUM(V464:V467)</f>
        <v>0</v>
      </c>
      <c r="W468" s="1202">
        <f>'Part IV-A-Uses of Funds'!W23</f>
        <v>0</v>
      </c>
      <c r="X468" s="1202"/>
    </row>
    <row r="469" spans="1:24" ht="13.8">
      <c r="A469" s="1778"/>
      <c r="B469" s="1778" t="s">
        <v>1107</v>
      </c>
      <c r="C469" s="1778"/>
      <c r="D469" s="1778"/>
      <c r="E469" s="1778"/>
      <c r="F469" s="1778"/>
      <c r="G469" s="1778"/>
      <c r="H469" s="1778"/>
      <c r="I469" s="1778"/>
      <c r="J469" s="1807"/>
      <c r="K469" s="1793"/>
      <c r="L469" s="1778"/>
      <c r="M469" s="1807"/>
      <c r="N469" s="1793"/>
      <c r="O469" s="1807" t="str">
        <f>B469</f>
        <v>LAND IMPROVEMENTS</v>
      </c>
      <c r="P469" s="1807"/>
      <c r="Q469" s="1793"/>
      <c r="R469" s="1778"/>
      <c r="S469" s="1807"/>
      <c r="T469" s="1793"/>
      <c r="U469" s="1778"/>
      <c r="V469" s="1883"/>
      <c r="W469" s="1778" t="str">
        <f>B469</f>
        <v>LAND IMPROVEMENTS</v>
      </c>
      <c r="X469" s="1778"/>
    </row>
    <row r="470" spans="1:24" ht="13.8">
      <c r="A470" s="1778"/>
      <c r="B470" s="1778" t="s">
        <v>1108</v>
      </c>
      <c r="C470" s="1778"/>
      <c r="D470" s="1778"/>
      <c r="E470" s="1886" t="s">
        <v>3622</v>
      </c>
      <c r="F470" s="1839">
        <f>IF('Part I-Project Information'!$O$37="","",G470/'Part I-Project Information'!$O$37)</f>
        <v>334568.66378422891</v>
      </c>
      <c r="G470" s="1793">
        <f>'Part IV-A-Uses of Funds'!G25</f>
        <v>1300000</v>
      </c>
      <c r="H470" s="1793"/>
      <c r="I470" s="1778"/>
      <c r="J470" s="1793">
        <f>'Part IV-A-Uses of Funds'!J25</f>
        <v>650000</v>
      </c>
      <c r="K470" s="1793"/>
      <c r="L470" s="1807"/>
      <c r="M470" s="1793">
        <f>'Part IV-A-Uses of Funds'!M25</f>
        <v>0</v>
      </c>
      <c r="N470" s="1793"/>
      <c r="O470" s="1778"/>
      <c r="P470" s="1793">
        <f>'Part IV-A-Uses of Funds'!P25</f>
        <v>0</v>
      </c>
      <c r="Q470" s="1793"/>
      <c r="R470" s="1778"/>
      <c r="S470" s="1793">
        <f>'Part IV-A-Uses of Funds'!S25</f>
        <v>650000</v>
      </c>
      <c r="T470" s="1793"/>
      <c r="U470" s="1778"/>
      <c r="V470" s="1883">
        <f>'Part IV-A-Uses of Funds'!V25</f>
        <v>0</v>
      </c>
      <c r="W470" s="1202">
        <f>'Part IV-A-Uses of Funds'!W25</f>
        <v>0</v>
      </c>
      <c r="X470" s="1202"/>
    </row>
    <row r="471" spans="1:24" ht="13.8">
      <c r="A471" s="1778"/>
      <c r="B471" s="1778" t="s">
        <v>1109</v>
      </c>
      <c r="C471" s="1778"/>
      <c r="D471" s="1778"/>
      <c r="E471" s="1778"/>
      <c r="F471" s="1778"/>
      <c r="G471" s="1793">
        <f>'Part IV-A-Uses of Funds'!G26</f>
        <v>0</v>
      </c>
      <c r="H471" s="1793"/>
      <c r="I471" s="1778"/>
      <c r="J471" s="1793">
        <f>'Part IV-A-Uses of Funds'!J26</f>
        <v>0</v>
      </c>
      <c r="K471" s="1793"/>
      <c r="L471" s="1887"/>
      <c r="M471" s="1793"/>
      <c r="N471" s="1793"/>
      <c r="O471" s="1778"/>
      <c r="P471" s="1793"/>
      <c r="Q471" s="1793"/>
      <c r="R471" s="1778"/>
      <c r="S471" s="1793">
        <f>'Part IV-A-Uses of Funds'!S26</f>
        <v>0</v>
      </c>
      <c r="T471" s="1793"/>
      <c r="U471" s="1778"/>
      <c r="V471" s="1883">
        <f>'Part IV-A-Uses of Funds'!V26</f>
        <v>0</v>
      </c>
      <c r="W471" s="1202">
        <f>'Part IV-A-Uses of Funds'!W26</f>
        <v>0</v>
      </c>
      <c r="X471" s="1202"/>
    </row>
    <row r="472" spans="1:24" ht="13.8">
      <c r="A472" s="1778"/>
      <c r="B472" s="1778"/>
      <c r="C472" s="1778"/>
      <c r="D472" s="1778"/>
      <c r="E472" s="1778"/>
      <c r="F472" s="1885" t="s">
        <v>189</v>
      </c>
      <c r="G472" s="1793">
        <f>SUM(G470:H471)</f>
        <v>1300000</v>
      </c>
      <c r="H472" s="1793"/>
      <c r="I472" s="1778"/>
      <c r="J472" s="1793">
        <f>SUM(J470:K471)</f>
        <v>650000</v>
      </c>
      <c r="K472" s="1793"/>
      <c r="L472" s="1807"/>
      <c r="M472" s="1793">
        <f>M470</f>
        <v>0</v>
      </c>
      <c r="N472" s="1793"/>
      <c r="O472" s="1778"/>
      <c r="P472" s="1793">
        <f>P470</f>
        <v>0</v>
      </c>
      <c r="Q472" s="1793"/>
      <c r="R472" s="1778"/>
      <c r="S472" s="1793">
        <f>SUM(S470:T471)</f>
        <v>650000</v>
      </c>
      <c r="T472" s="1793"/>
      <c r="U472" s="1778"/>
      <c r="V472" s="1883">
        <f>SUM(V470:V471)</f>
        <v>0</v>
      </c>
      <c r="W472" s="1202">
        <f>'Part IV-A-Uses of Funds'!W27</f>
        <v>0</v>
      </c>
      <c r="X472" s="1202"/>
    </row>
    <row r="473" spans="1:24" ht="13.8">
      <c r="A473" s="1778"/>
      <c r="B473" s="1778" t="s">
        <v>1110</v>
      </c>
      <c r="C473" s="1778"/>
      <c r="D473" s="1778"/>
      <c r="E473" s="1778"/>
      <c r="F473" s="1778"/>
      <c r="G473" s="1778"/>
      <c r="H473" s="1778"/>
      <c r="I473" s="1778"/>
      <c r="J473" s="1807"/>
      <c r="K473" s="1793"/>
      <c r="L473" s="1778"/>
      <c r="M473" s="1807"/>
      <c r="N473" s="1793"/>
      <c r="O473" s="1807" t="str">
        <f>B473</f>
        <v>STRUCTURES</v>
      </c>
      <c r="P473" s="1807"/>
      <c r="Q473" s="1793"/>
      <c r="R473" s="1778"/>
      <c r="S473" s="1807"/>
      <c r="T473" s="1793"/>
      <c r="U473" s="1778"/>
      <c r="V473" s="1883"/>
      <c r="W473" s="1778" t="str">
        <f>B473</f>
        <v>STRUCTURES</v>
      </c>
      <c r="X473" s="1778"/>
    </row>
    <row r="474" spans="1:24" ht="13.8">
      <c r="A474" s="1778"/>
      <c r="B474" s="1778" t="s">
        <v>1111</v>
      </c>
      <c r="C474" s="1778"/>
      <c r="D474" s="1778"/>
      <c r="E474" s="1778"/>
      <c r="F474" s="1778"/>
      <c r="G474" s="1793">
        <f>'Part IV-A-Uses of Funds'!G29</f>
        <v>8000000</v>
      </c>
      <c r="H474" s="1793"/>
      <c r="I474" s="1778"/>
      <c r="J474" s="1793">
        <f>'Part IV-A-Uses of Funds'!J29</f>
        <v>8000000</v>
      </c>
      <c r="K474" s="1793"/>
      <c r="L474" s="1807"/>
      <c r="M474" s="1793">
        <f>'Part IV-A-Uses of Funds'!M29</f>
        <v>0</v>
      </c>
      <c r="N474" s="1793"/>
      <c r="O474" s="1778"/>
      <c r="P474" s="1793">
        <f>'Part IV-A-Uses of Funds'!P29</f>
        <v>0</v>
      </c>
      <c r="Q474" s="1793"/>
      <c r="R474" s="1778"/>
      <c r="S474" s="1793">
        <f>'Part IV-A-Uses of Funds'!S29</f>
        <v>0</v>
      </c>
      <c r="T474" s="1793"/>
      <c r="U474" s="1778"/>
      <c r="V474" s="1883">
        <f>'Part IV-A-Uses of Funds'!V29</f>
        <v>0</v>
      </c>
      <c r="W474" s="1202">
        <f>'Part IV-A-Uses of Funds'!W29</f>
        <v>0</v>
      </c>
      <c r="X474" s="1202"/>
    </row>
    <row r="475" spans="1:24" ht="13.8">
      <c r="A475" s="1778"/>
      <c r="B475" s="1778" t="s">
        <v>1112</v>
      </c>
      <c r="C475" s="1778"/>
      <c r="D475" s="1778"/>
      <c r="E475" s="1778"/>
      <c r="F475" s="1778"/>
      <c r="G475" s="1793">
        <f>'Part IV-A-Uses of Funds'!G30</f>
        <v>0</v>
      </c>
      <c r="H475" s="1793"/>
      <c r="I475" s="1778"/>
      <c r="J475" s="1793">
        <f>'Part IV-A-Uses of Funds'!J30</f>
        <v>0</v>
      </c>
      <c r="K475" s="1793"/>
      <c r="L475" s="1807"/>
      <c r="M475" s="1793">
        <f>'Part IV-A-Uses of Funds'!M30</f>
        <v>0</v>
      </c>
      <c r="N475" s="1793"/>
      <c r="O475" s="1778"/>
      <c r="P475" s="1793">
        <f>'Part IV-A-Uses of Funds'!P30</f>
        <v>0</v>
      </c>
      <c r="Q475" s="1793"/>
      <c r="R475" s="1778"/>
      <c r="S475" s="1793">
        <f>'Part IV-A-Uses of Funds'!S30</f>
        <v>0</v>
      </c>
      <c r="T475" s="1793"/>
      <c r="U475" s="1778"/>
      <c r="V475" s="1883">
        <f>'Part IV-A-Uses of Funds'!V30</f>
        <v>0</v>
      </c>
      <c r="W475" s="1202">
        <f>'Part IV-A-Uses of Funds'!W30</f>
        <v>0</v>
      </c>
      <c r="X475" s="1202"/>
    </row>
    <row r="476" spans="1:24" ht="13.8">
      <c r="A476" s="1778"/>
      <c r="B476" s="1778" t="s">
        <v>2734</v>
      </c>
      <c r="C476" s="1778"/>
      <c r="D476" s="1778"/>
      <c r="E476" s="1778"/>
      <c r="F476" s="1778"/>
      <c r="G476" s="1793">
        <f>'Part IV-A-Uses of Funds'!G31</f>
        <v>0</v>
      </c>
      <c r="H476" s="1793"/>
      <c r="I476" s="1778"/>
      <c r="J476" s="1793">
        <f>'Part IV-A-Uses of Funds'!J31</f>
        <v>0</v>
      </c>
      <c r="K476" s="1793"/>
      <c r="L476" s="1807"/>
      <c r="M476" s="1793">
        <f>'Part IV-A-Uses of Funds'!M31</f>
        <v>0</v>
      </c>
      <c r="N476" s="1793"/>
      <c r="O476" s="1778"/>
      <c r="P476" s="1793">
        <f>'Part IV-A-Uses of Funds'!P31</f>
        <v>0</v>
      </c>
      <c r="Q476" s="1793"/>
      <c r="R476" s="1778"/>
      <c r="S476" s="1793">
        <f>'Part IV-A-Uses of Funds'!S31</f>
        <v>0</v>
      </c>
      <c r="T476" s="1793"/>
      <c r="U476" s="1778"/>
      <c r="V476" s="1883">
        <f>'Part IV-A-Uses of Funds'!V31</f>
        <v>0</v>
      </c>
      <c r="W476" s="1202">
        <f>'Part IV-A-Uses of Funds'!W31</f>
        <v>0</v>
      </c>
      <c r="X476" s="1202"/>
    </row>
    <row r="477" spans="1:24" ht="13.8">
      <c r="A477" s="1787"/>
      <c r="B477" s="1778" t="s">
        <v>2733</v>
      </c>
      <c r="C477" s="1787"/>
      <c r="D477" s="1787"/>
      <c r="E477" s="1787"/>
      <c r="F477" s="1787"/>
      <c r="G477" s="1793">
        <f>'Part IV-A-Uses of Funds'!G32</f>
        <v>0</v>
      </c>
      <c r="H477" s="1793"/>
      <c r="I477" s="1778"/>
      <c r="J477" s="1793">
        <f>'Part IV-A-Uses of Funds'!J32</f>
        <v>0</v>
      </c>
      <c r="K477" s="1793"/>
      <c r="L477" s="1807"/>
      <c r="M477" s="1793">
        <f>'Part IV-A-Uses of Funds'!M32</f>
        <v>0</v>
      </c>
      <c r="N477" s="1793"/>
      <c r="O477" s="1778"/>
      <c r="P477" s="1793">
        <f>'Part IV-A-Uses of Funds'!P32</f>
        <v>0</v>
      </c>
      <c r="Q477" s="1793"/>
      <c r="R477" s="1778"/>
      <c r="S477" s="1793">
        <f>'Part IV-A-Uses of Funds'!S32</f>
        <v>0</v>
      </c>
      <c r="T477" s="1793"/>
      <c r="U477" s="1787"/>
      <c r="V477" s="1883">
        <f>'Part IV-A-Uses of Funds'!V32</f>
        <v>0</v>
      </c>
      <c r="W477" s="1202">
        <f>'Part IV-A-Uses of Funds'!W32</f>
        <v>0</v>
      </c>
      <c r="X477" s="1202"/>
    </row>
    <row r="478" spans="1:24" ht="13.8">
      <c r="A478" s="1778"/>
      <c r="B478" s="1778"/>
      <c r="C478" s="1888"/>
      <c r="D478" s="1888"/>
      <c r="E478" s="1889"/>
      <c r="F478" s="1885" t="s">
        <v>189</v>
      </c>
      <c r="G478" s="1793">
        <f>SUM(G474:H477)</f>
        <v>8000000</v>
      </c>
      <c r="H478" s="1793"/>
      <c r="I478" s="1778"/>
      <c r="J478" s="1793">
        <f>SUM(J474:K477)</f>
        <v>8000000</v>
      </c>
      <c r="K478" s="1793"/>
      <c r="L478" s="1807"/>
      <c r="M478" s="1793">
        <f>SUM(M474:N477)</f>
        <v>0</v>
      </c>
      <c r="N478" s="1793"/>
      <c r="O478" s="1778"/>
      <c r="P478" s="1793">
        <f>SUM(P474:Q477)</f>
        <v>0</v>
      </c>
      <c r="Q478" s="1793"/>
      <c r="R478" s="1778"/>
      <c r="S478" s="1793">
        <f>SUM(S474:T477)</f>
        <v>0</v>
      </c>
      <c r="T478" s="1793"/>
      <c r="U478" s="1778"/>
      <c r="V478" s="1883">
        <f>SUM(V474:V477)</f>
        <v>0</v>
      </c>
      <c r="W478" s="1202">
        <f>'Part IV-A-Uses of Funds'!W33</f>
        <v>0</v>
      </c>
      <c r="X478" s="1202"/>
    </row>
    <row r="479" spans="1:24" ht="13.8">
      <c r="A479" s="1778"/>
      <c r="B479" s="1778" t="s">
        <v>2314</v>
      </c>
      <c r="C479" s="1778"/>
      <c r="D479" s="1790" t="s">
        <v>3626</v>
      </c>
      <c r="E479" s="1790"/>
      <c r="F479" s="1890">
        <f>SUM(F480:F482)</f>
        <v>0</v>
      </c>
      <c r="G479" s="1786" t="str">
        <f>IF(G480&gt;E480,"Proposed Builder Profit exceeds DCA Maximum!!!",IF(G481&gt;E481,"Proposed Builder Overhead exceeds DCA Maximum!!!",IF(G482&gt;E482,"Proposed General Requirements exceeds DCA Maximum!!!",IF(G483&gt;E483,"Proposed Contractor Services amount exceeds DCA Maximum!!!",""))))</f>
        <v/>
      </c>
      <c r="H479" s="1787"/>
      <c r="I479" s="1787"/>
      <c r="J479" s="1807"/>
      <c r="K479" s="1793"/>
      <c r="L479" s="1778"/>
      <c r="M479" s="1807"/>
      <c r="N479" s="1793"/>
      <c r="O479" s="1807" t="str">
        <f>B479</f>
        <v>CONTRACTOR SERVICES</v>
      </c>
      <c r="P479" s="1807"/>
      <c r="Q479" s="1793"/>
      <c r="R479" s="1778"/>
      <c r="S479" s="1807"/>
      <c r="T479" s="1793"/>
      <c r="U479" s="1778"/>
      <c r="V479" s="1883"/>
      <c r="W479" s="1778" t="str">
        <f>B479</f>
        <v>CONTRACTOR SERVICES</v>
      </c>
      <c r="X479" s="1778"/>
    </row>
    <row r="480" spans="1:24" ht="13.8">
      <c r="A480" s="1778"/>
      <c r="B480" s="1778" t="s">
        <v>2315</v>
      </c>
      <c r="C480" s="1778"/>
      <c r="D480" s="1891">
        <f>'DCA Underwriting Assumptions'!$R$73</f>
        <v>0.06</v>
      </c>
      <c r="E480" s="1892">
        <f>D480*(G472+G478)</f>
        <v>558000</v>
      </c>
      <c r="F480" s="1891">
        <f>IF(($G$27+$G$33)=0,0,G480/($G$27+$G$33))</f>
        <v>0</v>
      </c>
      <c r="G480" s="1793">
        <f>'Part IV-A-Uses of Funds'!G35</f>
        <v>558000</v>
      </c>
      <c r="H480" s="1793"/>
      <c r="I480" s="1787"/>
      <c r="J480" s="1793">
        <f>'Part IV-A-Uses of Funds'!J35</f>
        <v>558000</v>
      </c>
      <c r="K480" s="1793"/>
      <c r="L480" s="1807"/>
      <c r="M480" s="1793">
        <f>'Part IV-A-Uses of Funds'!M35</f>
        <v>0</v>
      </c>
      <c r="N480" s="1793"/>
      <c r="O480" s="1778"/>
      <c r="P480" s="1793">
        <f>'Part IV-A-Uses of Funds'!P35</f>
        <v>0</v>
      </c>
      <c r="Q480" s="1793"/>
      <c r="R480" s="1778"/>
      <c r="S480" s="1793">
        <f>'Part IV-A-Uses of Funds'!S35</f>
        <v>0</v>
      </c>
      <c r="T480" s="1793"/>
      <c r="U480" s="1778"/>
      <c r="V480" s="1883">
        <f>'Part IV-A-Uses of Funds'!V35</f>
        <v>0</v>
      </c>
      <c r="W480" s="1202">
        <f>'Part IV-A-Uses of Funds'!W35</f>
        <v>0</v>
      </c>
      <c r="X480" s="1202"/>
    </row>
    <row r="481" spans="1:24" ht="13.8">
      <c r="A481" s="1778"/>
      <c r="B481" s="1778" t="s">
        <v>2692</v>
      </c>
      <c r="C481" s="1778"/>
      <c r="D481" s="1891">
        <f>'DCA Underwriting Assumptions'!$R$74</f>
        <v>0.02</v>
      </c>
      <c r="E481" s="1892">
        <f>D481*(G472+G478)</f>
        <v>186000</v>
      </c>
      <c r="F481" s="1891">
        <f>IF(($G$27+$G$33)=0,0,G481/($G$27+$G$33))</f>
        <v>0</v>
      </c>
      <c r="G481" s="1793">
        <f>'Part IV-A-Uses of Funds'!G36</f>
        <v>186000</v>
      </c>
      <c r="H481" s="1793"/>
      <c r="I481" s="1787"/>
      <c r="J481" s="1793">
        <f>'Part IV-A-Uses of Funds'!J36</f>
        <v>186000</v>
      </c>
      <c r="K481" s="1793"/>
      <c r="L481" s="1807"/>
      <c r="M481" s="1793">
        <f>'Part IV-A-Uses of Funds'!M36</f>
        <v>0</v>
      </c>
      <c r="N481" s="1793"/>
      <c r="O481" s="1778"/>
      <c r="P481" s="1793">
        <f>'Part IV-A-Uses of Funds'!P36</f>
        <v>0</v>
      </c>
      <c r="Q481" s="1793"/>
      <c r="R481" s="1778"/>
      <c r="S481" s="1793">
        <f>'Part IV-A-Uses of Funds'!S36</f>
        <v>0</v>
      </c>
      <c r="T481" s="1793"/>
      <c r="U481" s="1778"/>
      <c r="V481" s="1883">
        <f>'Part IV-A-Uses of Funds'!V36</f>
        <v>0</v>
      </c>
      <c r="W481" s="1202">
        <f>'Part IV-A-Uses of Funds'!W36</f>
        <v>0</v>
      </c>
      <c r="X481" s="1202"/>
    </row>
    <row r="482" spans="1:24" ht="13.8">
      <c r="A482" s="1778"/>
      <c r="B482" s="1778" t="s">
        <v>2693</v>
      </c>
      <c r="C482" s="1778"/>
      <c r="D482" s="1891">
        <f>'DCA Underwriting Assumptions'!$R$75</f>
        <v>0.06</v>
      </c>
      <c r="E482" s="1892">
        <f>D482*(G472+G478)</f>
        <v>558000</v>
      </c>
      <c r="F482" s="1891">
        <f>IF(($G$27+$G$33)=0,0,G482/($G$27+$G$33))</f>
        <v>0</v>
      </c>
      <c r="G482" s="1793">
        <f>'Part IV-A-Uses of Funds'!G37</f>
        <v>558000</v>
      </c>
      <c r="H482" s="1793"/>
      <c r="I482" s="1787"/>
      <c r="J482" s="1793">
        <f>'Part IV-A-Uses of Funds'!J37</f>
        <v>558000</v>
      </c>
      <c r="K482" s="1793"/>
      <c r="L482" s="1807"/>
      <c r="M482" s="1793">
        <f>'Part IV-A-Uses of Funds'!M37</f>
        <v>0</v>
      </c>
      <c r="N482" s="1793"/>
      <c r="O482" s="1778"/>
      <c r="P482" s="1793">
        <f>'Part IV-A-Uses of Funds'!P37</f>
        <v>0</v>
      </c>
      <c r="Q482" s="1793"/>
      <c r="R482" s="1778"/>
      <c r="S482" s="1793">
        <f>'Part IV-A-Uses of Funds'!S37</f>
        <v>0</v>
      </c>
      <c r="T482" s="1793"/>
      <c r="U482" s="1778"/>
      <c r="V482" s="1883">
        <f>'Part IV-A-Uses of Funds'!V37</f>
        <v>0</v>
      </c>
      <c r="W482" s="1202">
        <f>'Part IV-A-Uses of Funds'!W37</f>
        <v>0</v>
      </c>
      <c r="X482" s="1202"/>
    </row>
    <row r="483" spans="1:24" ht="13.8">
      <c r="A483" s="1778"/>
      <c r="B483" s="1786" t="s">
        <v>3627</v>
      </c>
      <c r="C483" s="1778"/>
      <c r="D483" s="1890">
        <f>SUM(D480:D482)</f>
        <v>0.14000000000000001</v>
      </c>
      <c r="E483" s="1893">
        <f>SUM(E480:E482)</f>
        <v>1302000</v>
      </c>
      <c r="F483" s="1885" t="s">
        <v>189</v>
      </c>
      <c r="G483" s="1793">
        <f>SUM(G480:H482)</f>
        <v>1302000</v>
      </c>
      <c r="H483" s="1793"/>
      <c r="I483" s="1778"/>
      <c r="J483" s="1793">
        <f>SUM(J480:K482)</f>
        <v>1302000</v>
      </c>
      <c r="K483" s="1793"/>
      <c r="L483" s="1807"/>
      <c r="M483" s="1793">
        <f>SUM(M480:N482)</f>
        <v>0</v>
      </c>
      <c r="N483" s="1793"/>
      <c r="O483" s="1778"/>
      <c r="P483" s="1793">
        <f>SUM(P480:Q482)</f>
        <v>0</v>
      </c>
      <c r="Q483" s="1793"/>
      <c r="R483" s="1778"/>
      <c r="S483" s="1793">
        <f>SUM(S480:T482)</f>
        <v>0</v>
      </c>
      <c r="T483" s="1793"/>
      <c r="U483" s="1778"/>
      <c r="V483" s="1883">
        <f>SUM(V480:V482)</f>
        <v>0</v>
      </c>
      <c r="W483" s="1202">
        <f>'Part IV-A-Uses of Funds'!W38</f>
        <v>0</v>
      </c>
      <c r="X483" s="1202"/>
    </row>
    <row r="484" spans="1:24" ht="13.8">
      <c r="A484" s="1779"/>
      <c r="B484" s="1779"/>
      <c r="C484" s="1779"/>
      <c r="D484" s="1779"/>
      <c r="E484" s="1779"/>
      <c r="F484" s="1779"/>
      <c r="G484" s="1779"/>
      <c r="H484" s="1779"/>
      <c r="I484" s="1779"/>
      <c r="J484" s="1779"/>
      <c r="K484" s="1779"/>
      <c r="L484" s="1779"/>
      <c r="M484" s="1779"/>
      <c r="N484" s="1779"/>
      <c r="O484" s="1779"/>
      <c r="P484" s="1779"/>
      <c r="Q484" s="1779"/>
      <c r="R484" s="1779"/>
      <c r="S484" s="1779"/>
      <c r="T484" s="1779"/>
      <c r="U484" s="1778"/>
      <c r="V484" s="1883"/>
      <c r="W484" s="1778"/>
      <c r="X484" s="1778"/>
    </row>
    <row r="485" spans="1:24" ht="13.8">
      <c r="A485" s="1778"/>
      <c r="B485" s="1778" t="s">
        <v>5032</v>
      </c>
      <c r="C485" s="1778"/>
      <c r="D485" s="1778"/>
      <c r="E485" s="1778"/>
      <c r="F485" s="1778"/>
      <c r="G485" s="1778"/>
      <c r="H485" s="1778"/>
      <c r="I485" s="1778"/>
      <c r="J485" s="1807"/>
      <c r="K485" s="1793"/>
      <c r="L485" s="1778"/>
      <c r="M485" s="1807"/>
      <c r="N485" s="1793"/>
      <c r="O485" s="1807" t="str">
        <f>B485</f>
        <v>OTHER CONSTRUCTION HARD COSTS (Non-GC work scope items done by Owner)</v>
      </c>
      <c r="P485" s="1807"/>
      <c r="Q485" s="1793"/>
      <c r="R485" s="1778"/>
      <c r="S485" s="1807"/>
      <c r="T485" s="1793"/>
      <c r="U485" s="1778"/>
      <c r="V485" s="1883"/>
      <c r="W485" s="1778" t="str">
        <f>B485</f>
        <v>OTHER CONSTRUCTION HARD COSTS (Non-GC work scope items done by Owner)</v>
      </c>
      <c r="X485" s="1778"/>
    </row>
    <row r="486" spans="1:24" ht="12.75" customHeight="1">
      <c r="A486" s="1787"/>
      <c r="B486" s="1778" t="s">
        <v>730</v>
      </c>
      <c r="C486" s="1795" t="str">
        <f>'Part IV-A-Uses of Funds'!C41</f>
        <v>&lt;&lt; Enter description here; provide detail &amp; justification in tab Part IV-b &gt;&gt;</v>
      </c>
      <c r="D486" s="1894"/>
      <c r="E486" s="1894"/>
      <c r="F486" s="1894"/>
      <c r="G486" s="1793">
        <f>'Part IV-A-Uses of Funds'!G41</f>
        <v>0</v>
      </c>
      <c r="H486" s="1793"/>
      <c r="I486" s="1778"/>
      <c r="J486" s="1793">
        <f>'Part IV-A-Uses of Funds'!J41</f>
        <v>0</v>
      </c>
      <c r="K486" s="1793"/>
      <c r="L486" s="1807"/>
      <c r="M486" s="1793">
        <f>'Part IV-A-Uses of Funds'!M41</f>
        <v>0</v>
      </c>
      <c r="N486" s="1793"/>
      <c r="O486" s="1778"/>
      <c r="P486" s="1793">
        <f>'Part IV-A-Uses of Funds'!P41</f>
        <v>0</v>
      </c>
      <c r="Q486" s="1793"/>
      <c r="R486" s="1778"/>
      <c r="S486" s="1793">
        <f>'Part IV-A-Uses of Funds'!S41</f>
        <v>0</v>
      </c>
      <c r="T486" s="1793"/>
      <c r="U486" s="1787"/>
      <c r="V486" s="1883">
        <f>SUM(V483:V485)</f>
        <v>0</v>
      </c>
      <c r="W486" s="1202">
        <f>'Part IV-A-Uses of Funds'!W41</f>
        <v>0</v>
      </c>
      <c r="X486" s="1202"/>
    </row>
    <row r="487" spans="1:24" ht="13.8">
      <c r="A487" s="1779"/>
      <c r="B487" s="1779"/>
      <c r="C487" s="1779"/>
      <c r="D487" s="1779"/>
      <c r="E487" s="1779"/>
      <c r="F487" s="1779"/>
      <c r="G487" s="1779"/>
      <c r="H487" s="1779"/>
      <c r="I487" s="1779"/>
      <c r="J487" s="1779"/>
      <c r="K487" s="1779"/>
      <c r="L487" s="1779"/>
      <c r="M487" s="1779"/>
      <c r="N487" s="1779"/>
      <c r="O487" s="1779"/>
      <c r="P487" s="1779"/>
      <c r="Q487" s="1779"/>
      <c r="R487" s="1779"/>
      <c r="S487" s="1779"/>
      <c r="T487" s="1779"/>
      <c r="U487" s="1778"/>
      <c r="V487" s="1883"/>
      <c r="W487" s="1202">
        <f>'Part IV-A-Uses of Funds'!W42</f>
        <v>0</v>
      </c>
      <c r="X487" s="1202"/>
    </row>
    <row r="488" spans="1:24" ht="12.75" customHeight="1">
      <c r="A488" s="1778"/>
      <c r="B488" s="1895" t="s">
        <v>5033</v>
      </c>
      <c r="C488" s="1896"/>
      <c r="D488" s="1778"/>
      <c r="E488" s="1780" t="s">
        <v>2700</v>
      </c>
      <c r="F488" s="1897">
        <f>B489/'Part VI-Revenues &amp; Expenses'!$O$65</f>
        <v>126214.28571428571</v>
      </c>
      <c r="G488" s="1898" t="s">
        <v>5034</v>
      </c>
      <c r="H488" s="1778"/>
      <c r="I488" s="1778"/>
      <c r="J488" s="1899">
        <f>B489/'Part VI-Revenues &amp; Expenses'!$O$67</f>
        <v>126214.28571428571</v>
      </c>
      <c r="K488" s="1899"/>
      <c r="L488" s="1778"/>
      <c r="M488" s="1900" t="s">
        <v>1387</v>
      </c>
      <c r="N488" s="1900"/>
      <c r="O488" s="1778"/>
      <c r="P488" s="1899">
        <f>B489/'Part I-Project Information'!$P$75</f>
        <v>136.58850811646482</v>
      </c>
      <c r="Q488" s="1899"/>
      <c r="R488" s="1778"/>
      <c r="S488" s="1814" t="s">
        <v>2732</v>
      </c>
      <c r="T488" s="1814"/>
      <c r="U488" s="1778"/>
      <c r="V488" s="1883"/>
      <c r="W488" s="1202">
        <f>'Part IV-A-Uses of Funds'!W43</f>
        <v>0</v>
      </c>
      <c r="X488" s="1202"/>
    </row>
    <row r="489" spans="1:24" ht="13.8">
      <c r="A489" s="1778"/>
      <c r="B489" s="1901">
        <f>G472+G478+G483+G486</f>
        <v>10602000</v>
      </c>
      <c r="C489" s="1901"/>
      <c r="D489" s="1778"/>
      <c r="E489" s="1780"/>
      <c r="F489" s="1897">
        <f>B489/'Part VI-Revenues &amp; Expenses'!$O$154</f>
        <v>142.07987134816403</v>
      </c>
      <c r="G489" s="1814" t="s">
        <v>5035</v>
      </c>
      <c r="H489" s="1778"/>
      <c r="I489" s="1778"/>
      <c r="J489" s="1899">
        <f>B489/'Part VI-Revenues &amp; Expenses'!$O$156</f>
        <v>142.07987134816403</v>
      </c>
      <c r="K489" s="1899"/>
      <c r="L489" s="1778"/>
      <c r="M489" s="1814" t="s">
        <v>2731</v>
      </c>
      <c r="N489" s="1814"/>
      <c r="O489" s="1778"/>
      <c r="P489" s="1778"/>
      <c r="Q489" s="1778"/>
      <c r="R489" s="1778"/>
      <c r="S489" s="1778"/>
      <c r="T489" s="1778"/>
      <c r="U489" s="1778"/>
      <c r="V489" s="1883"/>
      <c r="W489" s="1202">
        <f>'Part IV-A-Uses of Funds'!W44</f>
        <v>0</v>
      </c>
      <c r="X489" s="1202"/>
    </row>
    <row r="490" spans="1:24" ht="13.8">
      <c r="A490" s="1779"/>
      <c r="B490" s="1779"/>
      <c r="C490" s="1779"/>
      <c r="D490" s="1779"/>
      <c r="E490" s="1779"/>
      <c r="F490" s="1779"/>
      <c r="G490" s="1779"/>
      <c r="H490" s="1779"/>
      <c r="I490" s="1779"/>
      <c r="J490" s="1779"/>
      <c r="K490" s="1779"/>
      <c r="L490" s="1779"/>
      <c r="M490" s="1779"/>
      <c r="N490" s="1779"/>
      <c r="O490" s="1779"/>
      <c r="P490" s="1779"/>
      <c r="Q490" s="1779"/>
      <c r="R490" s="1779"/>
      <c r="S490" s="1779"/>
      <c r="T490" s="1779"/>
      <c r="U490" s="1778"/>
      <c r="V490" s="1883"/>
      <c r="W490" s="1778"/>
      <c r="X490" s="1778"/>
    </row>
    <row r="491" spans="1:24" ht="13.8">
      <c r="A491" s="1778"/>
      <c r="B491" s="1778" t="s">
        <v>1113</v>
      </c>
      <c r="C491" s="1778"/>
      <c r="D491" s="1778"/>
      <c r="E491" s="1778"/>
      <c r="F491" s="1902" t="s">
        <v>3984</v>
      </c>
      <c r="G491" s="1778"/>
      <c r="H491" s="1778"/>
      <c r="I491" s="1778"/>
      <c r="J491" s="1807"/>
      <c r="K491" s="1793"/>
      <c r="L491" s="1778"/>
      <c r="M491" s="1807"/>
      <c r="N491" s="1793"/>
      <c r="O491" s="1807" t="str">
        <f>B491</f>
        <v>CONSTRUCTION CONTINGENCY</v>
      </c>
      <c r="P491" s="1807"/>
      <c r="Q491" s="1793"/>
      <c r="R491" s="1778"/>
      <c r="S491" s="1807"/>
      <c r="T491" s="1793"/>
      <c r="U491" s="1778"/>
      <c r="V491" s="1883"/>
      <c r="W491" s="1778" t="str">
        <f>B491</f>
        <v>CONSTRUCTION CONTINGENCY</v>
      </c>
      <c r="X491" s="1778"/>
    </row>
    <row r="492" spans="1:24" ht="13.8">
      <c r="A492" s="1787"/>
      <c r="B492" s="1778" t="s">
        <v>1935</v>
      </c>
      <c r="C492" s="1787"/>
      <c r="D492" s="1903" t="s">
        <v>3983</v>
      </c>
      <c r="E492" s="190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530100</v>
      </c>
      <c r="F492" s="1905">
        <f>G492/B489</f>
        <v>0.05</v>
      </c>
      <c r="G492" s="1793">
        <f>'Part IV-A-Uses of Funds'!G47</f>
        <v>530100</v>
      </c>
      <c r="H492" s="1793"/>
      <c r="I492" s="1778"/>
      <c r="J492" s="1793">
        <f>'Part IV-A-Uses of Funds'!J47</f>
        <v>530100</v>
      </c>
      <c r="K492" s="1793"/>
      <c r="L492" s="1807"/>
      <c r="M492" s="1793">
        <f>'Part IV-A-Uses of Funds'!M47</f>
        <v>0</v>
      </c>
      <c r="N492" s="1793"/>
      <c r="O492" s="1778"/>
      <c r="P492" s="1793">
        <f>'Part IV-A-Uses of Funds'!P47</f>
        <v>0</v>
      </c>
      <c r="Q492" s="1793"/>
      <c r="R492" s="1778"/>
      <c r="S492" s="1793">
        <f>'Part IV-A-Uses of Funds'!S47</f>
        <v>0</v>
      </c>
      <c r="T492" s="1793"/>
      <c r="U492" s="1787"/>
      <c r="V492" s="1883">
        <f>SUM(V489:V491)</f>
        <v>0</v>
      </c>
      <c r="W492" s="1202">
        <f>'Part IV-A-Uses of Funds'!W47</f>
        <v>0</v>
      </c>
      <c r="X492" s="1202"/>
    </row>
    <row r="493" spans="1:24" ht="13.8">
      <c r="A493" s="1779"/>
      <c r="B493" s="1779"/>
      <c r="C493" s="1779"/>
      <c r="D493" s="1779"/>
      <c r="E493" s="1779"/>
      <c r="F493" s="1779"/>
      <c r="G493" s="1779"/>
      <c r="H493" s="1779"/>
      <c r="I493" s="1779"/>
      <c r="J493" s="1779"/>
      <c r="K493" s="1779"/>
      <c r="L493" s="1779"/>
      <c r="M493" s="1779"/>
      <c r="N493" s="1779"/>
      <c r="O493" s="1779"/>
      <c r="P493" s="1779"/>
      <c r="Q493" s="1779"/>
      <c r="R493" s="1779"/>
      <c r="S493" s="1779"/>
      <c r="T493" s="1779"/>
      <c r="U493" s="1778"/>
      <c r="V493" s="1883"/>
      <c r="W493" s="1778"/>
      <c r="X493" s="1778"/>
    </row>
    <row r="494" spans="1:24" ht="17.25" customHeight="1">
      <c r="A494" s="1879" t="s">
        <v>605</v>
      </c>
      <c r="B494" s="1879" t="s">
        <v>5036</v>
      </c>
      <c r="C494" s="1778"/>
      <c r="D494" s="1778"/>
      <c r="E494" s="1778"/>
      <c r="F494" s="1778"/>
      <c r="G494" s="1778"/>
      <c r="H494" s="1778"/>
      <c r="I494" s="1778"/>
      <c r="J494" s="1780" t="s">
        <v>268</v>
      </c>
      <c r="K494" s="1780"/>
      <c r="L494" s="1793"/>
      <c r="M494" s="1881" t="s">
        <v>484</v>
      </c>
      <c r="N494" s="1881"/>
      <c r="O494" s="1778"/>
      <c r="P494" s="1780" t="s">
        <v>269</v>
      </c>
      <c r="Q494" s="1780"/>
      <c r="R494" s="1778"/>
      <c r="S494" s="1780" t="s">
        <v>270</v>
      </c>
      <c r="T494" s="1780"/>
      <c r="U494" s="1778"/>
      <c r="V494" s="1883"/>
      <c r="W494" s="1882" t="str">
        <f>B494</f>
        <v>DEVELOPMENT BUDGET (cont'd)</v>
      </c>
      <c r="X494" s="1778"/>
    </row>
    <row r="495" spans="1:24" ht="13.8">
      <c r="A495" s="1778"/>
      <c r="B495" s="1778"/>
      <c r="C495" s="1778"/>
      <c r="D495" s="1778"/>
      <c r="E495" s="1778"/>
      <c r="F495" s="1778"/>
      <c r="G495" s="1778" t="s">
        <v>99</v>
      </c>
      <c r="H495" s="1778"/>
      <c r="I495" s="1778"/>
      <c r="J495" s="1780"/>
      <c r="K495" s="1780"/>
      <c r="L495" s="1793"/>
      <c r="M495" s="1881"/>
      <c r="N495" s="1881"/>
      <c r="O495" s="1778"/>
      <c r="P495" s="1780"/>
      <c r="Q495" s="1780"/>
      <c r="R495" s="1778"/>
      <c r="S495" s="1780"/>
      <c r="T495" s="1780"/>
      <c r="U495" s="1778"/>
      <c r="V495" s="1883"/>
      <c r="W495" s="1792" t="s">
        <v>2646</v>
      </c>
      <c r="X495" s="1792"/>
    </row>
    <row r="496" spans="1:24" ht="13.8">
      <c r="A496" s="1778"/>
      <c r="B496" s="1778" t="s">
        <v>711</v>
      </c>
      <c r="C496" s="1778"/>
      <c r="D496" s="1778"/>
      <c r="E496" s="1778"/>
      <c r="F496" s="1778"/>
      <c r="G496" s="1778"/>
      <c r="H496" s="1778"/>
      <c r="I496" s="1778"/>
      <c r="J496" s="1807"/>
      <c r="K496" s="1793"/>
      <c r="L496" s="1778"/>
      <c r="M496" s="1807"/>
      <c r="N496" s="1793"/>
      <c r="O496" s="1807" t="str">
        <f>B496</f>
        <v>CONSTRUCTION PERIOD FINANCING</v>
      </c>
      <c r="P496" s="1807"/>
      <c r="Q496" s="1793"/>
      <c r="R496" s="1778"/>
      <c r="S496" s="1807"/>
      <c r="T496" s="1793"/>
      <c r="U496" s="1778"/>
      <c r="V496" s="1883"/>
      <c r="W496" s="1778" t="str">
        <f>B496</f>
        <v>CONSTRUCTION PERIOD FINANCING</v>
      </c>
      <c r="X496" s="1778"/>
    </row>
    <row r="497" spans="1:24" ht="13.8">
      <c r="A497" s="1778"/>
      <c r="B497" s="1778" t="s">
        <v>3628</v>
      </c>
      <c r="C497" s="1778"/>
      <c r="D497" s="1778"/>
      <c r="E497" s="1778"/>
      <c r="F497" s="1778"/>
      <c r="G497" s="1793">
        <f>'Part IV-A-Uses of Funds'!G52</f>
        <v>0</v>
      </c>
      <c r="H497" s="1793"/>
      <c r="I497" s="1778"/>
      <c r="J497" s="1793">
        <f>'Part IV-A-Uses of Funds'!J52</f>
        <v>0</v>
      </c>
      <c r="K497" s="1793"/>
      <c r="L497" s="1807"/>
      <c r="M497" s="1793">
        <f>'Part IV-A-Uses of Funds'!M52</f>
        <v>0</v>
      </c>
      <c r="N497" s="1793"/>
      <c r="O497" s="1778"/>
      <c r="P497" s="1793">
        <f>'Part IV-A-Uses of Funds'!P52</f>
        <v>0</v>
      </c>
      <c r="Q497" s="1793"/>
      <c r="R497" s="1778"/>
      <c r="S497" s="1793">
        <f>'Part IV-A-Uses of Funds'!S52</f>
        <v>0</v>
      </c>
      <c r="T497" s="1793"/>
      <c r="U497" s="1778"/>
      <c r="V497" s="1883">
        <f>'Part IV-A-Uses of Funds'!V52</f>
        <v>0</v>
      </c>
      <c r="W497" s="1202">
        <f>'Part IV-A-Uses of Funds'!W52</f>
        <v>0</v>
      </c>
      <c r="X497" s="1202"/>
    </row>
    <row r="498" spans="1:24" ht="13.8">
      <c r="A498" s="1778"/>
      <c r="B498" s="1778" t="s">
        <v>3629</v>
      </c>
      <c r="C498" s="1778"/>
      <c r="D498" s="1778"/>
      <c r="E498" s="1778"/>
      <c r="F498" s="1778"/>
      <c r="G498" s="1793">
        <f>'Part IV-A-Uses of Funds'!G53</f>
        <v>0</v>
      </c>
      <c r="H498" s="1793"/>
      <c r="I498" s="1778"/>
      <c r="J498" s="1793">
        <f>'Part IV-A-Uses of Funds'!J53</f>
        <v>0</v>
      </c>
      <c r="K498" s="1793"/>
      <c r="L498" s="1807"/>
      <c r="M498" s="1793">
        <f>'Part IV-A-Uses of Funds'!M53</f>
        <v>0</v>
      </c>
      <c r="N498" s="1793"/>
      <c r="O498" s="1778"/>
      <c r="P498" s="1793">
        <f>'Part IV-A-Uses of Funds'!P53</f>
        <v>0</v>
      </c>
      <c r="Q498" s="1793"/>
      <c r="R498" s="1778"/>
      <c r="S498" s="1793">
        <f>'Part IV-A-Uses of Funds'!S53</f>
        <v>0</v>
      </c>
      <c r="T498" s="1793"/>
      <c r="U498" s="1778"/>
      <c r="V498" s="1883">
        <f>'Part IV-A-Uses of Funds'!V53</f>
        <v>0</v>
      </c>
      <c r="W498" s="1202">
        <f>'Part IV-A-Uses of Funds'!W53</f>
        <v>0</v>
      </c>
      <c r="X498" s="1202"/>
    </row>
    <row r="499" spans="1:24" ht="13.8">
      <c r="A499" s="1778"/>
      <c r="B499" s="1778" t="s">
        <v>2317</v>
      </c>
      <c r="C499" s="1778"/>
      <c r="D499" s="1778"/>
      <c r="E499" s="1778"/>
      <c r="F499" s="1778"/>
      <c r="G499" s="1793">
        <f>'Part IV-A-Uses of Funds'!G54</f>
        <v>33750</v>
      </c>
      <c r="H499" s="1793"/>
      <c r="I499" s="1778"/>
      <c r="J499" s="1793">
        <f>'Part IV-A-Uses of Funds'!J54</f>
        <v>20750</v>
      </c>
      <c r="K499" s="1793"/>
      <c r="L499" s="1807"/>
      <c r="M499" s="1793">
        <f>'Part IV-A-Uses of Funds'!M54</f>
        <v>0</v>
      </c>
      <c r="N499" s="1793"/>
      <c r="O499" s="1778"/>
      <c r="P499" s="1793">
        <f>'Part IV-A-Uses of Funds'!P54</f>
        <v>0</v>
      </c>
      <c r="Q499" s="1793"/>
      <c r="R499" s="1778"/>
      <c r="S499" s="1793">
        <f>'Part IV-A-Uses of Funds'!S54</f>
        <v>13000</v>
      </c>
      <c r="T499" s="1793"/>
      <c r="U499" s="1778"/>
      <c r="V499" s="1883">
        <f>'Part IV-A-Uses of Funds'!V54</f>
        <v>0</v>
      </c>
      <c r="W499" s="1202">
        <f>'Part IV-A-Uses of Funds'!W54</f>
        <v>0</v>
      </c>
      <c r="X499" s="1202"/>
    </row>
    <row r="500" spans="1:24" ht="13.8">
      <c r="A500" s="1778"/>
      <c r="B500" s="1778" t="s">
        <v>2318</v>
      </c>
      <c r="C500" s="1778"/>
      <c r="D500" s="1778"/>
      <c r="E500" s="1778"/>
      <c r="F500" s="1778"/>
      <c r="G500" s="1793">
        <f>'Part IV-A-Uses of Funds'!G55</f>
        <v>175000</v>
      </c>
      <c r="H500" s="1793"/>
      <c r="I500" s="1778"/>
      <c r="J500" s="1793">
        <f>'Part IV-A-Uses of Funds'!J55</f>
        <v>93500</v>
      </c>
      <c r="K500" s="1793"/>
      <c r="L500" s="1807"/>
      <c r="M500" s="1793">
        <f>'Part IV-A-Uses of Funds'!M55</f>
        <v>0</v>
      </c>
      <c r="N500" s="1793"/>
      <c r="O500" s="1778"/>
      <c r="P500" s="1793">
        <f>'Part IV-A-Uses of Funds'!P55</f>
        <v>0</v>
      </c>
      <c r="Q500" s="1793"/>
      <c r="R500" s="1778"/>
      <c r="S500" s="1793">
        <f>'Part IV-A-Uses of Funds'!S55</f>
        <v>81500</v>
      </c>
      <c r="T500" s="1793"/>
      <c r="U500" s="1778"/>
      <c r="V500" s="1883">
        <f>'Part IV-A-Uses of Funds'!V55</f>
        <v>0</v>
      </c>
      <c r="W500" s="1202">
        <f>'Part IV-A-Uses of Funds'!W55</f>
        <v>0</v>
      </c>
      <c r="X500" s="1202"/>
    </row>
    <row r="501" spans="1:24" ht="13.8">
      <c r="A501" s="1778"/>
      <c r="B501" s="1778" t="s">
        <v>2319</v>
      </c>
      <c r="C501" s="1778"/>
      <c r="D501" s="1778"/>
      <c r="E501" s="1778"/>
      <c r="F501" s="1778"/>
      <c r="G501" s="1793">
        <f>'Part IV-A-Uses of Funds'!G56</f>
        <v>25000</v>
      </c>
      <c r="H501" s="1793"/>
      <c r="I501" s="1778"/>
      <c r="J501" s="1793">
        <f>'Part IV-A-Uses of Funds'!J56</f>
        <v>15000</v>
      </c>
      <c r="K501" s="1793"/>
      <c r="L501" s="1807"/>
      <c r="M501" s="1793">
        <f>'Part IV-A-Uses of Funds'!M56</f>
        <v>0</v>
      </c>
      <c r="N501" s="1793"/>
      <c r="O501" s="1778"/>
      <c r="P501" s="1793">
        <f>'Part IV-A-Uses of Funds'!P56</f>
        <v>0</v>
      </c>
      <c r="Q501" s="1793"/>
      <c r="R501" s="1778"/>
      <c r="S501" s="1793">
        <f>'Part IV-A-Uses of Funds'!S56</f>
        <v>10000</v>
      </c>
      <c r="T501" s="1793"/>
      <c r="U501" s="1778"/>
      <c r="V501" s="1883">
        <f>'Part IV-A-Uses of Funds'!V56</f>
        <v>0</v>
      </c>
      <c r="W501" s="1202">
        <f>'Part IV-A-Uses of Funds'!W56</f>
        <v>0</v>
      </c>
      <c r="X501" s="1202"/>
    </row>
    <row r="502" spans="1:24" ht="13.8">
      <c r="A502" s="1778"/>
      <c r="B502" s="1778" t="s">
        <v>2650</v>
      </c>
      <c r="C502" s="1778"/>
      <c r="D502" s="1778"/>
      <c r="E502" s="1778"/>
      <c r="F502" s="1778"/>
      <c r="G502" s="1793">
        <f>'Part IV-A-Uses of Funds'!G57</f>
        <v>18000</v>
      </c>
      <c r="H502" s="1793"/>
      <c r="I502" s="1778"/>
      <c r="J502" s="1793">
        <f>'Part IV-A-Uses of Funds'!J57</f>
        <v>18000</v>
      </c>
      <c r="K502" s="1793"/>
      <c r="L502" s="1807"/>
      <c r="M502" s="1793">
        <f>'Part IV-A-Uses of Funds'!M57</f>
        <v>0</v>
      </c>
      <c r="N502" s="1793"/>
      <c r="O502" s="1778"/>
      <c r="P502" s="1793">
        <f>'Part IV-A-Uses of Funds'!P57</f>
        <v>0</v>
      </c>
      <c r="Q502" s="1793"/>
      <c r="R502" s="1778"/>
      <c r="S502" s="1793">
        <f>'Part IV-A-Uses of Funds'!S57</f>
        <v>0</v>
      </c>
      <c r="T502" s="1793"/>
      <c r="U502" s="1778"/>
      <c r="V502" s="1883">
        <f>'Part IV-A-Uses of Funds'!V57</f>
        <v>0</v>
      </c>
      <c r="W502" s="1202">
        <f>'Part IV-A-Uses of Funds'!W57</f>
        <v>0</v>
      </c>
      <c r="X502" s="1202"/>
    </row>
    <row r="503" spans="1:24" ht="13.8">
      <c r="A503" s="1778"/>
      <c r="B503" s="1778" t="s">
        <v>712</v>
      </c>
      <c r="C503" s="1778"/>
      <c r="D503" s="1778"/>
      <c r="E503" s="1778"/>
      <c r="F503" s="1778"/>
      <c r="G503" s="1793">
        <f>'Part IV-A-Uses of Funds'!G58</f>
        <v>25000</v>
      </c>
      <c r="H503" s="1793"/>
      <c r="I503" s="1778"/>
      <c r="J503" s="1793">
        <f>'Part IV-A-Uses of Funds'!J58</f>
        <v>25000</v>
      </c>
      <c r="K503" s="1793"/>
      <c r="L503" s="1807"/>
      <c r="M503" s="1793">
        <f>'Part IV-A-Uses of Funds'!M58</f>
        <v>0</v>
      </c>
      <c r="N503" s="1793"/>
      <c r="O503" s="1778"/>
      <c r="P503" s="1793">
        <f>'Part IV-A-Uses of Funds'!P58</f>
        <v>0</v>
      </c>
      <c r="Q503" s="1793"/>
      <c r="R503" s="1778"/>
      <c r="S503" s="1793">
        <f>'Part IV-A-Uses of Funds'!S58</f>
        <v>0</v>
      </c>
      <c r="T503" s="1793"/>
      <c r="U503" s="1778"/>
      <c r="V503" s="1883">
        <f>'Part IV-A-Uses of Funds'!V58</f>
        <v>0</v>
      </c>
      <c r="W503" s="1202">
        <f>'Part IV-A-Uses of Funds'!W58</f>
        <v>0</v>
      </c>
      <c r="X503" s="1202"/>
    </row>
    <row r="504" spans="1:24" ht="13.8">
      <c r="A504" s="1778"/>
      <c r="B504" s="1778" t="s">
        <v>2320</v>
      </c>
      <c r="C504" s="1778"/>
      <c r="D504" s="1778"/>
      <c r="E504" s="1778"/>
      <c r="F504" s="1778"/>
      <c r="G504" s="1793">
        <f>'Part IV-A-Uses of Funds'!G59</f>
        <v>63000</v>
      </c>
      <c r="H504" s="1793"/>
      <c r="I504" s="1778"/>
      <c r="J504" s="1793">
        <f>'Part IV-A-Uses of Funds'!J59</f>
        <v>25000</v>
      </c>
      <c r="K504" s="1793"/>
      <c r="L504" s="1807"/>
      <c r="M504" s="1793">
        <f>'Part IV-A-Uses of Funds'!M59</f>
        <v>0</v>
      </c>
      <c r="N504" s="1793"/>
      <c r="O504" s="1778"/>
      <c r="P504" s="1793">
        <f>'Part IV-A-Uses of Funds'!P59</f>
        <v>0</v>
      </c>
      <c r="Q504" s="1793"/>
      <c r="R504" s="1778"/>
      <c r="S504" s="1793">
        <f>'Part IV-A-Uses of Funds'!S59</f>
        <v>0</v>
      </c>
      <c r="T504" s="1793"/>
      <c r="U504" s="1778"/>
      <c r="V504" s="1883">
        <f>'Part IV-A-Uses of Funds'!V59</f>
        <v>0</v>
      </c>
      <c r="W504" s="1202">
        <f>'Part IV-A-Uses of Funds'!W59</f>
        <v>0</v>
      </c>
      <c r="X504" s="1202"/>
    </row>
    <row r="505" spans="1:24" ht="13.8">
      <c r="A505" s="1778"/>
      <c r="B505" s="1778" t="s">
        <v>1261</v>
      </c>
      <c r="C505" s="1778"/>
      <c r="D505" s="1778"/>
      <c r="E505" s="1778"/>
      <c r="F505" s="1778"/>
      <c r="G505" s="1793">
        <f>'Part IV-A-Uses of Funds'!G60</f>
        <v>40000</v>
      </c>
      <c r="H505" s="1793"/>
      <c r="I505" s="1778"/>
      <c r="J505" s="1793">
        <f>'Part IV-A-Uses of Funds'!J60</f>
        <v>0</v>
      </c>
      <c r="K505" s="1793"/>
      <c r="L505" s="1807"/>
      <c r="M505" s="1793">
        <f>'Part IV-A-Uses of Funds'!M60</f>
        <v>0</v>
      </c>
      <c r="N505" s="1793"/>
      <c r="O505" s="1778"/>
      <c r="P505" s="1793">
        <f>'Part IV-A-Uses of Funds'!P60</f>
        <v>0</v>
      </c>
      <c r="Q505" s="1793"/>
      <c r="R505" s="1778"/>
      <c r="S505" s="1793">
        <f>'Part IV-A-Uses of Funds'!S60</f>
        <v>40000</v>
      </c>
      <c r="T505" s="1793"/>
      <c r="U505" s="1778"/>
      <c r="V505" s="1883">
        <f>'Part IV-A-Uses of Funds'!V60</f>
        <v>0</v>
      </c>
      <c r="W505" s="1202">
        <f>'Part IV-A-Uses of Funds'!W60</f>
        <v>0</v>
      </c>
      <c r="X505" s="1202"/>
    </row>
    <row r="506" spans="1:24" ht="13.8">
      <c r="A506" s="1778"/>
      <c r="B506" s="1836" t="s">
        <v>1140</v>
      </c>
      <c r="C506" s="1778"/>
      <c r="D506" s="1905"/>
      <c r="E506" s="1905"/>
      <c r="F506" s="1906"/>
      <c r="G506" s="1793">
        <f>'Part IV-A-Uses of Funds'!G61</f>
        <v>53010</v>
      </c>
      <c r="H506" s="1793"/>
      <c r="I506" s="1787"/>
      <c r="J506" s="1793">
        <f>'Part IV-A-Uses of Funds'!J61</f>
        <v>53010</v>
      </c>
      <c r="K506" s="1793"/>
      <c r="L506" s="1807"/>
      <c r="M506" s="1793">
        <f>'Part IV-A-Uses of Funds'!M61</f>
        <v>0</v>
      </c>
      <c r="N506" s="1793"/>
      <c r="O506" s="1778"/>
      <c r="P506" s="1793">
        <f>'Part IV-A-Uses of Funds'!P61</f>
        <v>0</v>
      </c>
      <c r="Q506" s="1793"/>
      <c r="R506" s="1778"/>
      <c r="S506" s="1793">
        <f>'Part IV-A-Uses of Funds'!S61</f>
        <v>0</v>
      </c>
      <c r="T506" s="1793"/>
      <c r="U506" s="1778"/>
      <c r="V506" s="1883">
        <f>'Part IV-A-Uses of Funds'!V61</f>
        <v>0</v>
      </c>
      <c r="W506" s="1202">
        <f>'Part IV-A-Uses of Funds'!W61</f>
        <v>0</v>
      </c>
      <c r="X506" s="1202"/>
    </row>
    <row r="507" spans="1:24" ht="15.75" customHeight="1">
      <c r="A507" s="1884" t="str">
        <f>IF(AND(G507&gt;0,OR(C507="",C507="&lt;Enter detailed description here; use Comments section if needed&gt;")),"X","")</f>
        <v/>
      </c>
      <c r="B507" s="1778" t="s">
        <v>730</v>
      </c>
      <c r="C507" s="1795" t="str">
        <f>'Part IV-A-Uses of Funds'!C62</f>
        <v xml:space="preserve">Lender's Due Diligence Fee </v>
      </c>
      <c r="D507" s="1795"/>
      <c r="E507" s="1795"/>
      <c r="F507" s="1795"/>
      <c r="G507" s="1793">
        <f>'Part IV-A-Uses of Funds'!G62</f>
        <v>25000</v>
      </c>
      <c r="H507" s="1793"/>
      <c r="I507" s="1778"/>
      <c r="J507" s="1793">
        <f>'Part IV-A-Uses of Funds'!J62</f>
        <v>10000</v>
      </c>
      <c r="K507" s="1793"/>
      <c r="L507" s="1807"/>
      <c r="M507" s="1793">
        <f>'Part IV-A-Uses of Funds'!M62</f>
        <v>0</v>
      </c>
      <c r="N507" s="1793"/>
      <c r="O507" s="1778"/>
      <c r="P507" s="1793">
        <f>'Part IV-A-Uses of Funds'!P62</f>
        <v>0</v>
      </c>
      <c r="Q507" s="1793"/>
      <c r="R507" s="1778"/>
      <c r="S507" s="1793">
        <f>'Part IV-A-Uses of Funds'!S62</f>
        <v>15000</v>
      </c>
      <c r="T507" s="1793"/>
      <c r="U507" s="1781" t="str">
        <f>IF(AND(G507&gt;0,OR(C507="",C507="&lt;Enter detailed description here; use Comments section if needed&gt;")),"NO DESCRIPTION PROVIDED - please enter detailed description in Other box at left; use Comments section below if needed.","")</f>
        <v/>
      </c>
      <c r="V507" s="1883">
        <f>'Part IV-A-Uses of Funds'!V62</f>
        <v>0</v>
      </c>
      <c r="W507" s="1202">
        <f>'Part IV-A-Uses of Funds'!W62</f>
        <v>0</v>
      </c>
      <c r="X507" s="1202"/>
    </row>
    <row r="508" spans="1:24" ht="16.5" customHeight="1">
      <c r="A508" s="1884" t="str">
        <f>IF(AND(G508&gt;0,OR(C508="",C508="&lt;Enter detailed description here; use Comments section if needed&gt;")),"X","")</f>
        <v/>
      </c>
      <c r="B508" s="1778" t="s">
        <v>730</v>
      </c>
      <c r="C508" s="1795" t="str">
        <f>'Part IV-A-Uses of Funds'!C63</f>
        <v>Invest Atlant's Fees</v>
      </c>
      <c r="D508" s="1795"/>
      <c r="E508" s="1795"/>
      <c r="F508" s="1795"/>
      <c r="G508" s="1793">
        <f>'Part IV-A-Uses of Funds'!G63</f>
        <v>4500</v>
      </c>
      <c r="H508" s="1793"/>
      <c r="I508" s="1778"/>
      <c r="J508" s="1793">
        <f>'Part IV-A-Uses of Funds'!J63</f>
        <v>1500</v>
      </c>
      <c r="K508" s="1793"/>
      <c r="L508" s="1807"/>
      <c r="M508" s="1793">
        <f>'Part IV-A-Uses of Funds'!M63</f>
        <v>0</v>
      </c>
      <c r="N508" s="1793"/>
      <c r="O508" s="1778"/>
      <c r="P508" s="1793">
        <f>'Part IV-A-Uses of Funds'!P63</f>
        <v>0</v>
      </c>
      <c r="Q508" s="1793"/>
      <c r="R508" s="1778"/>
      <c r="S508" s="1793">
        <f>'Part IV-A-Uses of Funds'!S63</f>
        <v>3000</v>
      </c>
      <c r="T508" s="1793"/>
      <c r="U508" s="1781" t="str">
        <f>IF(AND(G508&gt;0,OR(C508="",C508="&lt;Enter detailed description here; use Comments section if needed&gt;")),"NO DESCRIPTION PROVIDED - please enter detailed description in Other box at left; use Comments section below if needed.","")</f>
        <v/>
      </c>
      <c r="V508" s="1883">
        <f>'Part IV-A-Uses of Funds'!V63</f>
        <v>0</v>
      </c>
      <c r="W508" s="1202">
        <f>'Part IV-A-Uses of Funds'!W63</f>
        <v>0</v>
      </c>
      <c r="X508" s="1202"/>
    </row>
    <row r="509" spans="1:24" ht="13.8">
      <c r="A509" s="1778"/>
      <c r="B509" s="1778"/>
      <c r="C509" s="1778"/>
      <c r="D509" s="1778"/>
      <c r="E509" s="1778"/>
      <c r="F509" s="1885" t="s">
        <v>189</v>
      </c>
      <c r="G509" s="1793">
        <f>SUM(G497:H508)</f>
        <v>462260</v>
      </c>
      <c r="H509" s="1793"/>
      <c r="I509" s="1778"/>
      <c r="J509" s="1793">
        <f>SUM(J497:K508)</f>
        <v>261760</v>
      </c>
      <c r="K509" s="1793"/>
      <c r="L509" s="1807"/>
      <c r="M509" s="1793">
        <f>SUM(M497:N508)</f>
        <v>0</v>
      </c>
      <c r="N509" s="1793"/>
      <c r="O509" s="1778"/>
      <c r="P509" s="1793">
        <f>SUM(P497:Q508)</f>
        <v>0</v>
      </c>
      <c r="Q509" s="1793"/>
      <c r="R509" s="1778"/>
      <c r="S509" s="1793">
        <f>SUM(S497:T508)</f>
        <v>162500</v>
      </c>
      <c r="T509" s="1793"/>
      <c r="U509" s="1778"/>
      <c r="V509" s="1883">
        <f>SUM(V497:V508)</f>
        <v>0</v>
      </c>
      <c r="W509" s="1202">
        <f>'Part IV-A-Uses of Funds'!W64</f>
        <v>0</v>
      </c>
      <c r="X509" s="1202"/>
    </row>
    <row r="510" spans="1:24" ht="13.8">
      <c r="A510" s="1778"/>
      <c r="B510" s="1778" t="s">
        <v>472</v>
      </c>
      <c r="C510" s="1778"/>
      <c r="D510" s="1778"/>
      <c r="E510" s="1778"/>
      <c r="F510" s="1778"/>
      <c r="G510" s="1793"/>
      <c r="H510" s="1793"/>
      <c r="I510" s="1778"/>
      <c r="J510" s="1793"/>
      <c r="K510" s="1793"/>
      <c r="L510" s="1778"/>
      <c r="M510" s="1793"/>
      <c r="N510" s="1793"/>
      <c r="O510" s="1807" t="str">
        <f>B510</f>
        <v>PROFESSIONAL SERVICES</v>
      </c>
      <c r="P510" s="1793"/>
      <c r="Q510" s="1793"/>
      <c r="R510" s="1778"/>
      <c r="S510" s="1793"/>
      <c r="T510" s="1793"/>
      <c r="U510" s="1778"/>
      <c r="V510" s="1883"/>
      <c r="W510" s="1778" t="str">
        <f>B510</f>
        <v>PROFESSIONAL SERVICES</v>
      </c>
      <c r="X510" s="1778"/>
    </row>
    <row r="511" spans="1:24" ht="13.8">
      <c r="A511" s="1778"/>
      <c r="B511" s="1778" t="s">
        <v>473</v>
      </c>
      <c r="C511" s="1778"/>
      <c r="D511" s="1778"/>
      <c r="E511" s="1778"/>
      <c r="F511" s="1778"/>
      <c r="G511" s="1793">
        <f>'Part IV-A-Uses of Funds'!G66</f>
        <v>367500</v>
      </c>
      <c r="H511" s="1793"/>
      <c r="I511" s="1778"/>
      <c r="J511" s="1793">
        <f>'Part IV-A-Uses of Funds'!J66</f>
        <v>367500</v>
      </c>
      <c r="K511" s="1793"/>
      <c r="L511" s="1807"/>
      <c r="M511" s="1793">
        <f>'Part IV-A-Uses of Funds'!M66</f>
        <v>0</v>
      </c>
      <c r="N511" s="1793"/>
      <c r="O511" s="1778"/>
      <c r="P511" s="1793">
        <f>'Part IV-A-Uses of Funds'!P66</f>
        <v>0</v>
      </c>
      <c r="Q511" s="1793"/>
      <c r="R511" s="1778"/>
      <c r="S511" s="1793">
        <f>'Part IV-A-Uses of Funds'!S66</f>
        <v>0</v>
      </c>
      <c r="T511" s="1793"/>
      <c r="U511" s="1778"/>
      <c r="V511" s="1883">
        <f>'Part IV-A-Uses of Funds'!V66</f>
        <v>0</v>
      </c>
      <c r="W511" s="1202">
        <f>'Part IV-A-Uses of Funds'!W66</f>
        <v>0</v>
      </c>
      <c r="X511" s="1202"/>
    </row>
    <row r="512" spans="1:24" ht="13.8">
      <c r="A512" s="1778"/>
      <c r="B512" s="1778" t="s">
        <v>474</v>
      </c>
      <c r="C512" s="1778"/>
      <c r="D512" s="1778"/>
      <c r="E512" s="1778"/>
      <c r="F512" s="1778"/>
      <c r="G512" s="1793">
        <f>'Part IV-A-Uses of Funds'!G67</f>
        <v>85000</v>
      </c>
      <c r="H512" s="1793"/>
      <c r="I512" s="1778"/>
      <c r="J512" s="1793">
        <f>'Part IV-A-Uses of Funds'!J67</f>
        <v>85000</v>
      </c>
      <c r="K512" s="1793"/>
      <c r="L512" s="1807"/>
      <c r="M512" s="1793">
        <f>'Part IV-A-Uses of Funds'!M67</f>
        <v>0</v>
      </c>
      <c r="N512" s="1793"/>
      <c r="O512" s="1778"/>
      <c r="P512" s="1793">
        <f>'Part IV-A-Uses of Funds'!P67</f>
        <v>0</v>
      </c>
      <c r="Q512" s="1793"/>
      <c r="R512" s="1778"/>
      <c r="S512" s="1793">
        <f>'Part IV-A-Uses of Funds'!S67</f>
        <v>0</v>
      </c>
      <c r="T512" s="1793"/>
      <c r="U512" s="1778"/>
      <c r="V512" s="1883">
        <f>'Part IV-A-Uses of Funds'!V67</f>
        <v>0</v>
      </c>
      <c r="W512" s="1202">
        <f>'Part IV-A-Uses of Funds'!W67</f>
        <v>0</v>
      </c>
      <c r="X512" s="1202"/>
    </row>
    <row r="513" spans="1:24" ht="13.8">
      <c r="A513" s="1778"/>
      <c r="B513" s="1778" t="s">
        <v>1114</v>
      </c>
      <c r="C513" s="1778"/>
      <c r="D513" s="1783" t="s">
        <v>3720</v>
      </c>
      <c r="E513" s="1907">
        <f>'DCA Underwriting Assumptions'!R521</f>
        <v>0</v>
      </c>
      <c r="F513" s="1778" t="str">
        <f>IF(G513&gt;E513,"CHECK!!!","")</f>
        <v>CHECK!!!</v>
      </c>
      <c r="G513" s="1793">
        <f>'Part IV-A-Uses of Funds'!G68</f>
        <v>20000</v>
      </c>
      <c r="H513" s="1793"/>
      <c r="I513" s="1778"/>
      <c r="J513" s="1793">
        <f>'Part IV-A-Uses of Funds'!J68</f>
        <v>20000</v>
      </c>
      <c r="K513" s="1793"/>
      <c r="L513" s="1807"/>
      <c r="M513" s="1793">
        <f>'Part IV-A-Uses of Funds'!M68</f>
        <v>0</v>
      </c>
      <c r="N513" s="1793"/>
      <c r="O513" s="1778"/>
      <c r="P513" s="1793">
        <f>'Part IV-A-Uses of Funds'!P68</f>
        <v>0</v>
      </c>
      <c r="Q513" s="1793"/>
      <c r="R513" s="1778"/>
      <c r="S513" s="1793">
        <f>'Part IV-A-Uses of Funds'!S68</f>
        <v>0</v>
      </c>
      <c r="T513" s="1793"/>
      <c r="U513" s="1778"/>
      <c r="V513" s="1883">
        <f>'Part IV-A-Uses of Funds'!V68</f>
        <v>0</v>
      </c>
      <c r="W513" s="1202">
        <f>'Part IV-A-Uses of Funds'!W68</f>
        <v>0</v>
      </c>
      <c r="X513" s="1202"/>
    </row>
    <row r="514" spans="1:24" ht="13.8">
      <c r="A514" s="1778"/>
      <c r="B514" s="1778" t="s">
        <v>1115</v>
      </c>
      <c r="C514" s="1778"/>
      <c r="D514" s="1778"/>
      <c r="E514" s="1778"/>
      <c r="F514" s="1778"/>
      <c r="G514" s="1793">
        <f>'Part IV-A-Uses of Funds'!G69</f>
        <v>10000</v>
      </c>
      <c r="H514" s="1793"/>
      <c r="I514" s="1778"/>
      <c r="J514" s="1793">
        <f>'Part IV-A-Uses of Funds'!J69</f>
        <v>10000</v>
      </c>
      <c r="K514" s="1793"/>
      <c r="L514" s="1807"/>
      <c r="M514" s="1793">
        <f>'Part IV-A-Uses of Funds'!M69</f>
        <v>0</v>
      </c>
      <c r="N514" s="1793"/>
      <c r="O514" s="1778"/>
      <c r="P514" s="1793">
        <f>'Part IV-A-Uses of Funds'!P69</f>
        <v>0</v>
      </c>
      <c r="Q514" s="1793"/>
      <c r="R514" s="1778"/>
      <c r="S514" s="1793">
        <f>'Part IV-A-Uses of Funds'!S69</f>
        <v>0</v>
      </c>
      <c r="T514" s="1793"/>
      <c r="U514" s="1778"/>
      <c r="V514" s="1883">
        <f>'Part IV-A-Uses of Funds'!V69</f>
        <v>0</v>
      </c>
      <c r="W514" s="1202">
        <f>'Part IV-A-Uses of Funds'!W69</f>
        <v>0</v>
      </c>
      <c r="X514" s="1202"/>
    </row>
    <row r="515" spans="1:24" ht="13.8">
      <c r="A515" s="1778"/>
      <c r="B515" s="1778" t="s">
        <v>1116</v>
      </c>
      <c r="C515" s="1778"/>
      <c r="D515" s="1778"/>
      <c r="E515" s="1778"/>
      <c r="F515" s="1778"/>
      <c r="G515" s="1793">
        <f>'Part IV-A-Uses of Funds'!G70</f>
        <v>6500</v>
      </c>
      <c r="H515" s="1793"/>
      <c r="I515" s="1778"/>
      <c r="J515" s="1793">
        <f>'Part IV-A-Uses of Funds'!J70</f>
        <v>6500</v>
      </c>
      <c r="K515" s="1793"/>
      <c r="L515" s="1807"/>
      <c r="M515" s="1793">
        <f>'Part IV-A-Uses of Funds'!M70</f>
        <v>0</v>
      </c>
      <c r="N515" s="1793"/>
      <c r="O515" s="1778"/>
      <c r="P515" s="1793">
        <f>'Part IV-A-Uses of Funds'!P70</f>
        <v>0</v>
      </c>
      <c r="Q515" s="1793"/>
      <c r="R515" s="1778"/>
      <c r="S515" s="1793">
        <f>'Part IV-A-Uses of Funds'!S70</f>
        <v>0</v>
      </c>
      <c r="T515" s="1793"/>
      <c r="U515" s="1778"/>
      <c r="V515" s="1883">
        <f>'Part IV-A-Uses of Funds'!V70</f>
        <v>0</v>
      </c>
      <c r="W515" s="1202">
        <f>'Part IV-A-Uses of Funds'!W70</f>
        <v>0</v>
      </c>
      <c r="X515" s="1202"/>
    </row>
    <row r="516" spans="1:24" ht="13.8">
      <c r="A516" s="1778"/>
      <c r="B516" s="1778" t="s">
        <v>1117</v>
      </c>
      <c r="C516" s="1778"/>
      <c r="D516" s="1778"/>
      <c r="E516" s="1778"/>
      <c r="F516" s="1778"/>
      <c r="G516" s="1793">
        <f>'Part IV-A-Uses of Funds'!G71</f>
        <v>50000</v>
      </c>
      <c r="H516" s="1793"/>
      <c r="I516" s="1778"/>
      <c r="J516" s="1793">
        <f>'Part IV-A-Uses of Funds'!J71</f>
        <v>50000</v>
      </c>
      <c r="K516" s="1793"/>
      <c r="L516" s="1807"/>
      <c r="M516" s="1793">
        <f>'Part IV-A-Uses of Funds'!M71</f>
        <v>0</v>
      </c>
      <c r="N516" s="1793"/>
      <c r="O516" s="1778"/>
      <c r="P516" s="1793">
        <f>'Part IV-A-Uses of Funds'!P71</f>
        <v>0</v>
      </c>
      <c r="Q516" s="1793"/>
      <c r="R516" s="1778"/>
      <c r="S516" s="1793">
        <f>'Part IV-A-Uses of Funds'!S71</f>
        <v>0</v>
      </c>
      <c r="T516" s="1793"/>
      <c r="U516" s="1778"/>
      <c r="V516" s="1883">
        <f>'Part IV-A-Uses of Funds'!V71</f>
        <v>0</v>
      </c>
      <c r="W516" s="1202">
        <f>'Part IV-A-Uses of Funds'!W71</f>
        <v>0</v>
      </c>
      <c r="X516" s="1202"/>
    </row>
    <row r="517" spans="1:24" ht="13.8">
      <c r="A517" s="1778"/>
      <c r="B517" s="1778" t="s">
        <v>475</v>
      </c>
      <c r="C517" s="1778"/>
      <c r="D517" s="1778"/>
      <c r="E517" s="1778"/>
      <c r="F517" s="1778"/>
      <c r="G517" s="1793">
        <f>'Part IV-A-Uses of Funds'!G72</f>
        <v>132500</v>
      </c>
      <c r="H517" s="1793"/>
      <c r="I517" s="1778"/>
      <c r="J517" s="1793">
        <f>'Part IV-A-Uses of Funds'!J72</f>
        <v>132500</v>
      </c>
      <c r="K517" s="1793"/>
      <c r="L517" s="1807"/>
      <c r="M517" s="1793">
        <f>'Part IV-A-Uses of Funds'!M72</f>
        <v>0</v>
      </c>
      <c r="N517" s="1793"/>
      <c r="O517" s="1778"/>
      <c r="P517" s="1793">
        <f>'Part IV-A-Uses of Funds'!P72</f>
        <v>0</v>
      </c>
      <c r="Q517" s="1793"/>
      <c r="R517" s="1778"/>
      <c r="S517" s="1793">
        <f>'Part IV-A-Uses of Funds'!S72</f>
        <v>0</v>
      </c>
      <c r="T517" s="1793"/>
      <c r="U517" s="1778"/>
      <c r="V517" s="1883">
        <f>'Part IV-A-Uses of Funds'!V72</f>
        <v>0</v>
      </c>
      <c r="W517" s="1202">
        <f>'Part IV-A-Uses of Funds'!W72</f>
        <v>0</v>
      </c>
      <c r="X517" s="1202"/>
    </row>
    <row r="518" spans="1:24" ht="13.8">
      <c r="A518" s="1778"/>
      <c r="B518" s="1778" t="s">
        <v>476</v>
      </c>
      <c r="C518" s="1778"/>
      <c r="D518" s="1778"/>
      <c r="E518" s="1778"/>
      <c r="F518" s="1778"/>
      <c r="G518" s="1793">
        <f>'Part IV-A-Uses of Funds'!G73</f>
        <v>170000</v>
      </c>
      <c r="H518" s="1793"/>
      <c r="I518" s="1778"/>
      <c r="J518" s="1793">
        <f>'Part IV-A-Uses of Funds'!J73</f>
        <v>65000</v>
      </c>
      <c r="K518" s="1793"/>
      <c r="L518" s="1807"/>
      <c r="M518" s="1793">
        <f>'Part IV-A-Uses of Funds'!M73</f>
        <v>0</v>
      </c>
      <c r="N518" s="1793"/>
      <c r="O518" s="1778"/>
      <c r="P518" s="1793">
        <f>'Part IV-A-Uses of Funds'!P73</f>
        <v>0</v>
      </c>
      <c r="Q518" s="1793"/>
      <c r="R518" s="1778"/>
      <c r="S518" s="1793">
        <f>'Part IV-A-Uses of Funds'!S73</f>
        <v>105000</v>
      </c>
      <c r="T518" s="1793"/>
      <c r="U518" s="1778"/>
      <c r="V518" s="1883">
        <f>'Part IV-A-Uses of Funds'!V73</f>
        <v>0</v>
      </c>
      <c r="W518" s="1202">
        <f>'Part IV-A-Uses of Funds'!W73</f>
        <v>0</v>
      </c>
      <c r="X518" s="1202"/>
    </row>
    <row r="519" spans="1:24" ht="13.8">
      <c r="A519" s="1778"/>
      <c r="B519" s="1778" t="s">
        <v>2023</v>
      </c>
      <c r="C519" s="1778"/>
      <c r="D519" s="1778"/>
      <c r="E519" s="1778"/>
      <c r="F519" s="1778"/>
      <c r="G519" s="1793">
        <f>'Part IV-A-Uses of Funds'!G74</f>
        <v>36440</v>
      </c>
      <c r="H519" s="1793"/>
      <c r="I519" s="1778"/>
      <c r="J519" s="1793">
        <f>'Part IV-A-Uses of Funds'!J74</f>
        <v>36440</v>
      </c>
      <c r="K519" s="1793"/>
      <c r="L519" s="1807"/>
      <c r="M519" s="1793">
        <f>'Part IV-A-Uses of Funds'!M74</f>
        <v>0</v>
      </c>
      <c r="N519" s="1793"/>
      <c r="O519" s="1778"/>
      <c r="P519" s="1793">
        <f>'Part IV-A-Uses of Funds'!P74</f>
        <v>0</v>
      </c>
      <c r="Q519" s="1793"/>
      <c r="R519" s="1778"/>
      <c r="S519" s="1793">
        <f>'Part IV-A-Uses of Funds'!S74</f>
        <v>0</v>
      </c>
      <c r="T519" s="1793"/>
      <c r="U519" s="1778"/>
      <c r="V519" s="1883">
        <f>'Part IV-A-Uses of Funds'!V74</f>
        <v>0</v>
      </c>
      <c r="W519" s="1202">
        <f>'Part IV-A-Uses of Funds'!W74</f>
        <v>0</v>
      </c>
      <c r="X519" s="1202"/>
    </row>
    <row r="520" spans="1:24" ht="13.8">
      <c r="A520" s="1778"/>
      <c r="B520" s="1778" t="s">
        <v>1262</v>
      </c>
      <c r="C520" s="1778"/>
      <c r="D520" s="1778"/>
      <c r="E520" s="1778"/>
      <c r="F520" s="1778"/>
      <c r="G520" s="1793">
        <f>'Part IV-A-Uses of Funds'!G75</f>
        <v>12500</v>
      </c>
      <c r="H520" s="1793"/>
      <c r="I520" s="1778"/>
      <c r="J520" s="1793">
        <f>'Part IV-A-Uses of Funds'!J75</f>
        <v>12500</v>
      </c>
      <c r="K520" s="1793"/>
      <c r="L520" s="1807"/>
      <c r="M520" s="1793">
        <f>'Part IV-A-Uses of Funds'!M75</f>
        <v>0</v>
      </c>
      <c r="N520" s="1793"/>
      <c r="O520" s="1778"/>
      <c r="P520" s="1793">
        <f>'Part IV-A-Uses of Funds'!P75</f>
        <v>0</v>
      </c>
      <c r="Q520" s="1793"/>
      <c r="R520" s="1778"/>
      <c r="S520" s="1793">
        <f>'Part IV-A-Uses of Funds'!S75</f>
        <v>0</v>
      </c>
      <c r="T520" s="1793"/>
      <c r="U520" s="1778"/>
      <c r="V520" s="1883">
        <f>'Part IV-A-Uses of Funds'!V75</f>
        <v>0</v>
      </c>
      <c r="W520" s="1202">
        <f>'Part IV-A-Uses of Funds'!W75</f>
        <v>0</v>
      </c>
      <c r="X520" s="1202"/>
    </row>
    <row r="521" spans="1:24" ht="16.5" customHeight="1">
      <c r="A521" s="1884" t="str">
        <f>IF(AND(G521&gt;0,OR(C521="",C521="&lt;Enter detailed description here; use Comments section if needed&gt;")),"X","")</f>
        <v/>
      </c>
      <c r="B521" s="1778" t="s">
        <v>730</v>
      </c>
      <c r="C521" s="1795" t="str">
        <f>'Part IV-A-Uses of Funds'!C76</f>
        <v>&lt;&lt; Enter description here; provide detail &amp; justification in tab Part IV-b &gt;&gt;</v>
      </c>
      <c r="D521" s="1795"/>
      <c r="E521" s="1795"/>
      <c r="F521" s="1795"/>
      <c r="G521" s="1793">
        <f>'Part IV-A-Uses of Funds'!G76</f>
        <v>0</v>
      </c>
      <c r="H521" s="1793"/>
      <c r="I521" s="1778"/>
      <c r="J521" s="1793">
        <f>'Part IV-A-Uses of Funds'!J76</f>
        <v>0</v>
      </c>
      <c r="K521" s="1793"/>
      <c r="L521" s="1807"/>
      <c r="M521" s="1793">
        <f>'Part IV-A-Uses of Funds'!M76</f>
        <v>0</v>
      </c>
      <c r="N521" s="1793"/>
      <c r="O521" s="1778"/>
      <c r="P521" s="1793">
        <f>'Part IV-A-Uses of Funds'!P76</f>
        <v>0</v>
      </c>
      <c r="Q521" s="1793"/>
      <c r="R521" s="1778"/>
      <c r="S521" s="1793">
        <f>'Part IV-A-Uses of Funds'!S76</f>
        <v>0</v>
      </c>
      <c r="T521" s="1793"/>
      <c r="U521" s="1781" t="str">
        <f>IF(AND(G521&gt;0,OR(C521="",C521="&lt;Enter detailed description here; use Comments section if needed&gt;")),"NO DESCRIPTION PROVIDED - please enter detailed description in Other box at left; use Comments section below if needed.","")</f>
        <v/>
      </c>
      <c r="V521" s="1883">
        <f>'Part IV-A-Uses of Funds'!V76</f>
        <v>0</v>
      </c>
      <c r="W521" s="1202">
        <f>'Part IV-A-Uses of Funds'!W76</f>
        <v>0</v>
      </c>
      <c r="X521" s="1202"/>
    </row>
    <row r="522" spans="1:24" ht="13.8">
      <c r="A522" s="1778"/>
      <c r="B522" s="1778"/>
      <c r="C522" s="1778"/>
      <c r="D522" s="1778"/>
      <c r="E522" s="1778"/>
      <c r="F522" s="1885" t="s">
        <v>189</v>
      </c>
      <c r="G522" s="1793">
        <f>SUM(G511:H521)</f>
        <v>890440</v>
      </c>
      <c r="H522" s="1793"/>
      <c r="I522" s="1778"/>
      <c r="J522" s="1793">
        <f>SUM(J511:K521)</f>
        <v>785440</v>
      </c>
      <c r="K522" s="1793"/>
      <c r="L522" s="1807"/>
      <c r="M522" s="1793">
        <f>SUM(M511:N521)</f>
        <v>0</v>
      </c>
      <c r="N522" s="1793"/>
      <c r="O522" s="1778"/>
      <c r="P522" s="1793">
        <f>SUM(P511:Q521)</f>
        <v>0</v>
      </c>
      <c r="Q522" s="1793"/>
      <c r="R522" s="1778"/>
      <c r="S522" s="1793">
        <f>SUM(S511:T521)</f>
        <v>105000</v>
      </c>
      <c r="T522" s="1793"/>
      <c r="U522" s="1778"/>
      <c r="V522" s="1883">
        <f>SUM(V511:V521)</f>
        <v>0</v>
      </c>
      <c r="W522" s="1202">
        <f>'Part IV-A-Uses of Funds'!W77</f>
        <v>0</v>
      </c>
      <c r="X522" s="1202"/>
    </row>
    <row r="523" spans="1:24" ht="13.8">
      <c r="A523" s="1778"/>
      <c r="B523" s="1778" t="s">
        <v>1254</v>
      </c>
      <c r="C523" s="1778"/>
      <c r="D523" s="1908" t="s">
        <v>3630</v>
      </c>
      <c r="E523" s="1909">
        <f>G528/'Part VI-Revenues &amp; Expenses'!$O$67</f>
        <v>2384.3452380952381</v>
      </c>
      <c r="F523" s="1778"/>
      <c r="G523" s="1778"/>
      <c r="H523" s="1778"/>
      <c r="I523" s="1778"/>
      <c r="J523" s="1807"/>
      <c r="K523" s="1807"/>
      <c r="L523" s="1787"/>
      <c r="M523" s="1807"/>
      <c r="N523" s="1807"/>
      <c r="O523" s="1807" t="str">
        <f>B523</f>
        <v>LOCAL GOVERNMENT FEES</v>
      </c>
      <c r="P523" s="1807"/>
      <c r="Q523" s="1807"/>
      <c r="R523" s="1787"/>
      <c r="S523" s="1807"/>
      <c r="T523" s="1807"/>
      <c r="U523" s="1787"/>
      <c r="V523" s="1883"/>
      <c r="W523" s="1778" t="str">
        <f>B523</f>
        <v>LOCAL GOVERNMENT FEES</v>
      </c>
      <c r="X523" s="1787"/>
    </row>
    <row r="524" spans="1:24" ht="13.8">
      <c r="A524" s="1778"/>
      <c r="B524" s="1778" t="s">
        <v>1255</v>
      </c>
      <c r="C524" s="1778"/>
      <c r="D524" s="1778"/>
      <c r="E524" s="1778"/>
      <c r="F524" s="1778"/>
      <c r="G524" s="1793">
        <f>'Part IV-A-Uses of Funds'!G79</f>
        <v>90285</v>
      </c>
      <c r="H524" s="1793"/>
      <c r="I524" s="1778"/>
      <c r="J524" s="1793">
        <f>'Part IV-A-Uses of Funds'!J79</f>
        <v>90285</v>
      </c>
      <c r="K524" s="1793"/>
      <c r="L524" s="1807"/>
      <c r="M524" s="1793">
        <f>'Part IV-A-Uses of Funds'!M79</f>
        <v>0</v>
      </c>
      <c r="N524" s="1793"/>
      <c r="O524" s="1778"/>
      <c r="P524" s="1793">
        <f>'Part IV-A-Uses of Funds'!P79</f>
        <v>0</v>
      </c>
      <c r="Q524" s="1793"/>
      <c r="R524" s="1778"/>
      <c r="S524" s="1793">
        <f>'Part IV-A-Uses of Funds'!S79</f>
        <v>0</v>
      </c>
      <c r="T524" s="1793"/>
      <c r="U524" s="1778"/>
      <c r="V524" s="1883">
        <f>'Part IV-A-Uses of Funds'!V79</f>
        <v>0</v>
      </c>
      <c r="W524" s="1202">
        <f>'Part IV-A-Uses of Funds'!W79</f>
        <v>0</v>
      </c>
      <c r="X524" s="1202"/>
    </row>
    <row r="525" spans="1:24" ht="13.8">
      <c r="A525" s="1778"/>
      <c r="B525" s="1778" t="s">
        <v>1256</v>
      </c>
      <c r="C525" s="1778"/>
      <c r="D525" s="1778"/>
      <c r="E525" s="1778"/>
      <c r="F525" s="1778"/>
      <c r="G525" s="1793">
        <f>'Part IV-A-Uses of Funds'!G80</f>
        <v>85000</v>
      </c>
      <c r="H525" s="1793"/>
      <c r="I525" s="1778"/>
      <c r="J525" s="1793">
        <f>'Part IV-A-Uses of Funds'!J80</f>
        <v>85000</v>
      </c>
      <c r="K525" s="1793"/>
      <c r="L525" s="1807"/>
      <c r="M525" s="1793">
        <f>'Part IV-A-Uses of Funds'!M80</f>
        <v>0</v>
      </c>
      <c r="N525" s="1793"/>
      <c r="O525" s="1778"/>
      <c r="P525" s="1793">
        <f>'Part IV-A-Uses of Funds'!P80</f>
        <v>0</v>
      </c>
      <c r="Q525" s="1793"/>
      <c r="R525" s="1778"/>
      <c r="S525" s="1793">
        <f>'Part IV-A-Uses of Funds'!S80</f>
        <v>0</v>
      </c>
      <c r="T525" s="1793"/>
      <c r="U525" s="1778"/>
      <c r="V525" s="1883">
        <f>'Part IV-A-Uses of Funds'!V80</f>
        <v>0</v>
      </c>
      <c r="W525" s="1202">
        <f>'Part IV-A-Uses of Funds'!W80</f>
        <v>0</v>
      </c>
      <c r="X525" s="1202"/>
    </row>
    <row r="526" spans="1:24" ht="13.8">
      <c r="A526" s="1778"/>
      <c r="B526" s="1778" t="s">
        <v>1257</v>
      </c>
      <c r="C526" s="1778"/>
      <c r="D526" s="1885" t="s">
        <v>1388</v>
      </c>
      <c r="E526" s="1910" t="str">
        <f>'Part IV-A-Uses of Funds'!E81</f>
        <v>No</v>
      </c>
      <c r="F526" s="1778"/>
      <c r="G526" s="1793">
        <f>'Part IV-A-Uses of Funds'!G81</f>
        <v>12500</v>
      </c>
      <c r="H526" s="1793"/>
      <c r="I526" s="1787"/>
      <c r="J526" s="1793">
        <f>'Part IV-A-Uses of Funds'!J81</f>
        <v>12500</v>
      </c>
      <c r="K526" s="1793"/>
      <c r="L526" s="1807"/>
      <c r="M526" s="1793">
        <f>'Part IV-A-Uses of Funds'!M81</f>
        <v>0</v>
      </c>
      <c r="N526" s="1793"/>
      <c r="O526" s="1778"/>
      <c r="P526" s="1793">
        <f>'Part IV-A-Uses of Funds'!P81</f>
        <v>0</v>
      </c>
      <c r="Q526" s="1793"/>
      <c r="R526" s="1778"/>
      <c r="S526" s="1793">
        <f>'Part IV-A-Uses of Funds'!S81</f>
        <v>0</v>
      </c>
      <c r="T526" s="1793"/>
      <c r="U526" s="1778"/>
      <c r="V526" s="1883">
        <f>'Part IV-A-Uses of Funds'!V81</f>
        <v>0</v>
      </c>
      <c r="W526" s="1202">
        <f>'Part IV-A-Uses of Funds'!W81</f>
        <v>0</v>
      </c>
      <c r="X526" s="1202"/>
    </row>
    <row r="527" spans="1:24" ht="13.8">
      <c r="A527" s="1778"/>
      <c r="B527" s="1778" t="s">
        <v>1258</v>
      </c>
      <c r="C527" s="1778"/>
      <c r="D527" s="1885" t="s">
        <v>1388</v>
      </c>
      <c r="E527" s="1910" t="str">
        <f>'Part IV-A-Uses of Funds'!E82</f>
        <v>No</v>
      </c>
      <c r="F527" s="1778"/>
      <c r="G527" s="1793">
        <f>'Part IV-A-Uses of Funds'!G82</f>
        <v>12500</v>
      </c>
      <c r="H527" s="1793"/>
      <c r="I527" s="1787"/>
      <c r="J527" s="1793">
        <f>'Part IV-A-Uses of Funds'!J82</f>
        <v>12500</v>
      </c>
      <c r="K527" s="1793"/>
      <c r="L527" s="1807"/>
      <c r="M527" s="1793">
        <f>'Part IV-A-Uses of Funds'!M82</f>
        <v>0</v>
      </c>
      <c r="N527" s="1793"/>
      <c r="O527" s="1778"/>
      <c r="P527" s="1793">
        <f>'Part IV-A-Uses of Funds'!P82</f>
        <v>0</v>
      </c>
      <c r="Q527" s="1793"/>
      <c r="R527" s="1778"/>
      <c r="S527" s="1793">
        <f>'Part IV-A-Uses of Funds'!S82</f>
        <v>0</v>
      </c>
      <c r="T527" s="1793"/>
      <c r="U527" s="1778"/>
      <c r="V527" s="1883">
        <f>'Part IV-A-Uses of Funds'!V82</f>
        <v>0</v>
      </c>
      <c r="W527" s="1202">
        <f>'Part IV-A-Uses of Funds'!W82</f>
        <v>0</v>
      </c>
      <c r="X527" s="1202"/>
    </row>
    <row r="528" spans="1:24" ht="13.8">
      <c r="A528" s="1778"/>
      <c r="B528" s="1778"/>
      <c r="C528" s="1778"/>
      <c r="D528" s="1778"/>
      <c r="E528" s="1778"/>
      <c r="F528" s="1885" t="s">
        <v>189</v>
      </c>
      <c r="G528" s="1793">
        <f>SUM(G524:H527)</f>
        <v>200285</v>
      </c>
      <c r="H528" s="1793"/>
      <c r="I528" s="1778"/>
      <c r="J528" s="1793">
        <f>SUM(J524:K527)</f>
        <v>200285</v>
      </c>
      <c r="K528" s="1793"/>
      <c r="L528" s="1807"/>
      <c r="M528" s="1793">
        <f>SUM(M524:N527)</f>
        <v>0</v>
      </c>
      <c r="N528" s="1793"/>
      <c r="O528" s="1778"/>
      <c r="P528" s="1793">
        <f>SUM(P524:Q527)</f>
        <v>0</v>
      </c>
      <c r="Q528" s="1793"/>
      <c r="R528" s="1778"/>
      <c r="S528" s="1793">
        <f>SUM(S524:T527)</f>
        <v>0</v>
      </c>
      <c r="T528" s="1793"/>
      <c r="U528" s="1778"/>
      <c r="V528" s="1883">
        <f>SUM(V524:V527)</f>
        <v>0</v>
      </c>
      <c r="W528" s="1202">
        <f>'Part IV-A-Uses of Funds'!W83</f>
        <v>0</v>
      </c>
      <c r="X528" s="1202"/>
    </row>
    <row r="529" spans="1:24" ht="13.8">
      <c r="A529" s="1778"/>
      <c r="B529" s="1778" t="s">
        <v>713</v>
      </c>
      <c r="C529" s="1778"/>
      <c r="D529" s="1778"/>
      <c r="E529" s="1778"/>
      <c r="F529" s="1778"/>
      <c r="G529" s="1778"/>
      <c r="H529" s="1778"/>
      <c r="I529" s="1778"/>
      <c r="J529" s="1807"/>
      <c r="K529" s="1807"/>
      <c r="L529" s="1778"/>
      <c r="M529" s="1807"/>
      <c r="N529" s="1807"/>
      <c r="O529" s="1807" t="str">
        <f>B529</f>
        <v>PERMANENT FINANCING FEES</v>
      </c>
      <c r="P529" s="1807"/>
      <c r="Q529" s="1807"/>
      <c r="R529" s="1778"/>
      <c r="S529" s="1807"/>
      <c r="T529" s="1807"/>
      <c r="U529" s="1778"/>
      <c r="V529" s="1883"/>
      <c r="W529" s="1778" t="str">
        <f>B529</f>
        <v>PERMANENT FINANCING FEES</v>
      </c>
      <c r="X529" s="1778"/>
    </row>
    <row r="530" spans="1:24" ht="13.8">
      <c r="A530" s="1778"/>
      <c r="B530" s="1778" t="s">
        <v>1259</v>
      </c>
      <c r="C530" s="1778"/>
      <c r="D530" s="1778"/>
      <c r="E530" s="1778"/>
      <c r="F530" s="1778"/>
      <c r="G530" s="1793">
        <f>'Part IV-A-Uses of Funds'!G85</f>
        <v>24000</v>
      </c>
      <c r="H530" s="1793"/>
      <c r="I530" s="1778"/>
      <c r="J530" s="1793"/>
      <c r="K530" s="1793"/>
      <c r="L530" s="1807"/>
      <c r="M530" s="1793"/>
      <c r="N530" s="1793"/>
      <c r="O530" s="1778"/>
      <c r="P530" s="1793"/>
      <c r="Q530" s="1793"/>
      <c r="R530" s="1778"/>
      <c r="S530" s="1793">
        <f>'Part IV-A-Uses of Funds'!S85</f>
        <v>24000</v>
      </c>
      <c r="T530" s="1793"/>
      <c r="U530" s="1778"/>
      <c r="V530" s="1883">
        <f>'Part IV-A-Uses of Funds'!V85</f>
        <v>0</v>
      </c>
      <c r="W530" s="1202">
        <f>'Part IV-A-Uses of Funds'!W85</f>
        <v>0</v>
      </c>
      <c r="X530" s="1202"/>
    </row>
    <row r="531" spans="1:24" ht="13.8">
      <c r="A531" s="1778"/>
      <c r="B531" s="1778" t="s">
        <v>1260</v>
      </c>
      <c r="C531" s="1778"/>
      <c r="D531" s="1778"/>
      <c r="E531" s="1778"/>
      <c r="F531" s="1778"/>
      <c r="G531" s="1793">
        <f>'Part IV-A-Uses of Funds'!G86</f>
        <v>25000</v>
      </c>
      <c r="H531" s="1793"/>
      <c r="I531" s="1778"/>
      <c r="J531" s="1793"/>
      <c r="K531" s="1793"/>
      <c r="L531" s="1807"/>
      <c r="M531" s="1793"/>
      <c r="N531" s="1793"/>
      <c r="O531" s="1778"/>
      <c r="P531" s="1793"/>
      <c r="Q531" s="1793"/>
      <c r="R531" s="1778"/>
      <c r="S531" s="1793">
        <f>'Part IV-A-Uses of Funds'!S86</f>
        <v>25000</v>
      </c>
      <c r="T531" s="1793"/>
      <c r="U531" s="1778"/>
      <c r="V531" s="1883">
        <f>'Part IV-A-Uses of Funds'!V86</f>
        <v>0</v>
      </c>
      <c r="W531" s="1202">
        <f>'Part IV-A-Uses of Funds'!W86</f>
        <v>0</v>
      </c>
      <c r="X531" s="1202"/>
    </row>
    <row r="532" spans="1:24" ht="13.8">
      <c r="A532" s="1778"/>
      <c r="B532" s="1778" t="s">
        <v>1261</v>
      </c>
      <c r="C532" s="1778"/>
      <c r="D532" s="1778"/>
      <c r="E532" s="1778"/>
      <c r="F532" s="1778"/>
      <c r="G532" s="1793">
        <f>'Part IV-A-Uses of Funds'!G87</f>
        <v>40000</v>
      </c>
      <c r="H532" s="1793"/>
      <c r="I532" s="1778"/>
      <c r="J532" s="1793"/>
      <c r="K532" s="1793"/>
      <c r="L532" s="1807"/>
      <c r="M532" s="1793"/>
      <c r="N532" s="1793"/>
      <c r="O532" s="1778"/>
      <c r="P532" s="1793"/>
      <c r="Q532" s="1793"/>
      <c r="R532" s="1778"/>
      <c r="S532" s="1793">
        <f>'Part IV-A-Uses of Funds'!S87</f>
        <v>40000</v>
      </c>
      <c r="T532" s="1793"/>
      <c r="U532" s="1778"/>
      <c r="V532" s="1883">
        <f>'Part IV-A-Uses of Funds'!V87</f>
        <v>0</v>
      </c>
      <c r="W532" s="1202">
        <f>'Part IV-A-Uses of Funds'!W87</f>
        <v>0</v>
      </c>
      <c r="X532" s="1202"/>
    </row>
    <row r="533" spans="1:24" ht="13.8">
      <c r="A533" s="1778"/>
      <c r="B533" s="1778" t="s">
        <v>1263</v>
      </c>
      <c r="C533" s="1778"/>
      <c r="D533" s="1778"/>
      <c r="E533" s="1778"/>
      <c r="F533" s="1778"/>
      <c r="G533" s="1793">
        <f>'Part IV-A-Uses of Funds'!G88</f>
        <v>0</v>
      </c>
      <c r="H533" s="1793"/>
      <c r="I533" s="1778"/>
      <c r="J533" s="1793"/>
      <c r="K533" s="1793"/>
      <c r="L533" s="1807"/>
      <c r="M533" s="1793"/>
      <c r="N533" s="1793"/>
      <c r="O533" s="1778"/>
      <c r="P533" s="1793"/>
      <c r="Q533" s="1793"/>
      <c r="R533" s="1778"/>
      <c r="S533" s="1793">
        <f>'Part IV-A-Uses of Funds'!S88</f>
        <v>0</v>
      </c>
      <c r="T533" s="1793"/>
      <c r="U533" s="1778"/>
      <c r="V533" s="1883">
        <f>'Part IV-A-Uses of Funds'!V88</f>
        <v>0</v>
      </c>
      <c r="W533" s="1202">
        <f>'Part IV-A-Uses of Funds'!W88</f>
        <v>0</v>
      </c>
      <c r="X533" s="1202"/>
    </row>
    <row r="534" spans="1:24" ht="13.8">
      <c r="A534" s="1778"/>
      <c r="B534" s="1778" t="s">
        <v>2269</v>
      </c>
      <c r="C534" s="1778"/>
      <c r="D534" s="1778"/>
      <c r="E534" s="1778"/>
      <c r="F534" s="1778"/>
      <c r="G534" s="1793">
        <f>'Part IV-A-Uses of Funds'!G89</f>
        <v>0</v>
      </c>
      <c r="H534" s="1793"/>
      <c r="I534" s="1778"/>
      <c r="J534" s="1793"/>
      <c r="K534" s="1793"/>
      <c r="L534" s="1807"/>
      <c r="M534" s="1793"/>
      <c r="N534" s="1793"/>
      <c r="O534" s="1778"/>
      <c r="P534" s="1793"/>
      <c r="Q534" s="1793"/>
      <c r="R534" s="1778"/>
      <c r="S534" s="1793">
        <f>'Part IV-A-Uses of Funds'!S89</f>
        <v>0</v>
      </c>
      <c r="T534" s="1793"/>
      <c r="U534" s="1778"/>
      <c r="V534" s="1883">
        <f>'Part IV-A-Uses of Funds'!V89</f>
        <v>0</v>
      </c>
      <c r="W534" s="1202">
        <f>'Part IV-A-Uses of Funds'!W89</f>
        <v>0</v>
      </c>
      <c r="X534" s="1202"/>
    </row>
    <row r="535" spans="1:24" ht="16.5" customHeight="1">
      <c r="A535" s="1884" t="str">
        <f>IF(AND(G535&gt;0,OR(C535="",C535="&lt;Enter detailed description here; use Comments section if needed&gt;")),"X","")</f>
        <v/>
      </c>
      <c r="B535" s="1778" t="s">
        <v>730</v>
      </c>
      <c r="C535" s="1795" t="str">
        <f>'Part IV-A-Uses of Funds'!C90</f>
        <v>&lt;&lt; Enter description here; provide detail &amp; justification in tab Part IV-b &gt;&gt;</v>
      </c>
      <c r="D535" s="1795"/>
      <c r="E535" s="1795"/>
      <c r="F535" s="1795"/>
      <c r="G535" s="1793">
        <f>'Part IV-A-Uses of Funds'!G90</f>
        <v>0</v>
      </c>
      <c r="H535" s="1793"/>
      <c r="I535" s="1778"/>
      <c r="J535" s="1793"/>
      <c r="K535" s="1793"/>
      <c r="L535" s="1807"/>
      <c r="M535" s="1793"/>
      <c r="N535" s="1793"/>
      <c r="O535" s="1778"/>
      <c r="P535" s="1793"/>
      <c r="Q535" s="1793"/>
      <c r="R535" s="1778"/>
      <c r="S535" s="1793">
        <f>'Part IV-A-Uses of Funds'!S90</f>
        <v>0</v>
      </c>
      <c r="T535" s="1793"/>
      <c r="U535" s="1781" t="str">
        <f>IF(AND(G535&gt;0,OR(C535="",C535="&lt;Enter detailed description here; use Comments section if needed&gt;")),"NO DESCRIPTION PROVIDED - please enter detailed description in Other box at left; use Comments section below if needed.","")</f>
        <v/>
      </c>
      <c r="V535" s="1883">
        <f>'Part IV-A-Uses of Funds'!V90</f>
        <v>0</v>
      </c>
      <c r="W535" s="1202">
        <f>'Part IV-A-Uses of Funds'!W90</f>
        <v>0</v>
      </c>
      <c r="X535" s="1202"/>
    </row>
    <row r="536" spans="1:24" ht="13.8">
      <c r="A536" s="1778"/>
      <c r="B536" s="1778"/>
      <c r="C536" s="1778"/>
      <c r="D536" s="1778"/>
      <c r="E536" s="1778"/>
      <c r="F536" s="1885" t="s">
        <v>189</v>
      </c>
      <c r="G536" s="1793">
        <f>SUM(G530:H535)</f>
        <v>89000</v>
      </c>
      <c r="H536" s="1793"/>
      <c r="I536" s="1778"/>
      <c r="J536" s="1793"/>
      <c r="K536" s="1793"/>
      <c r="L536" s="1807"/>
      <c r="M536" s="1793"/>
      <c r="N536" s="1793"/>
      <c r="O536" s="1778"/>
      <c r="P536" s="1793"/>
      <c r="Q536" s="1793"/>
      <c r="R536" s="1778"/>
      <c r="S536" s="1793">
        <f>SUM(S530:T535)</f>
        <v>89000</v>
      </c>
      <c r="T536" s="1793"/>
      <c r="U536" s="1778"/>
      <c r="V536" s="1883">
        <f>SUM(V530:V535)</f>
        <v>0</v>
      </c>
      <c r="W536" s="1202">
        <f>'Part IV-A-Uses of Funds'!W91</f>
        <v>0</v>
      </c>
      <c r="X536" s="1202"/>
    </row>
    <row r="537" spans="1:24" ht="13.8">
      <c r="A537" s="1779"/>
      <c r="B537" s="1779"/>
      <c r="C537" s="1779"/>
      <c r="D537" s="1779"/>
      <c r="E537" s="1779"/>
      <c r="F537" s="1779"/>
      <c r="G537" s="1779"/>
      <c r="H537" s="1779"/>
      <c r="I537" s="1779"/>
      <c r="J537" s="1779"/>
      <c r="K537" s="1779"/>
      <c r="L537" s="1779"/>
      <c r="M537" s="1779"/>
      <c r="N537" s="1779"/>
      <c r="O537" s="1779"/>
      <c r="P537" s="1779"/>
      <c r="Q537" s="1779"/>
      <c r="R537" s="1779"/>
      <c r="S537" s="1779"/>
      <c r="T537" s="1779"/>
      <c r="U537" s="1778"/>
      <c r="V537" s="1883"/>
      <c r="W537" s="1778"/>
      <c r="X537" s="1778"/>
    </row>
    <row r="538" spans="1:24" ht="17.25" customHeight="1">
      <c r="A538" s="1879" t="s">
        <v>605</v>
      </c>
      <c r="B538" s="1879" t="s">
        <v>5037</v>
      </c>
      <c r="C538" s="1778"/>
      <c r="D538" s="1778"/>
      <c r="E538" s="1778"/>
      <c r="F538" s="1778"/>
      <c r="G538" s="1778"/>
      <c r="H538" s="1778"/>
      <c r="I538" s="1778"/>
      <c r="J538" s="1780" t="s">
        <v>268</v>
      </c>
      <c r="K538" s="1780"/>
      <c r="L538" s="1793"/>
      <c r="M538" s="1881" t="s">
        <v>484</v>
      </c>
      <c r="N538" s="1881"/>
      <c r="O538" s="1778"/>
      <c r="P538" s="1780" t="s">
        <v>269</v>
      </c>
      <c r="Q538" s="1780"/>
      <c r="R538" s="1778"/>
      <c r="S538" s="1780" t="s">
        <v>270</v>
      </c>
      <c r="T538" s="1780"/>
      <c r="U538" s="1778"/>
      <c r="V538" s="1882" t="str">
        <f>B538</f>
        <v>DEVELOPMENT BUDGET  (cont'd)</v>
      </c>
      <c r="W538" s="1778"/>
      <c r="X538" s="1778"/>
    </row>
    <row r="539" spans="1:24" ht="13.8">
      <c r="A539" s="1778"/>
      <c r="B539" s="1778"/>
      <c r="C539" s="1778"/>
      <c r="D539" s="1778"/>
      <c r="E539" s="1778"/>
      <c r="F539" s="1778"/>
      <c r="G539" s="1778" t="s">
        <v>99</v>
      </c>
      <c r="H539" s="1778"/>
      <c r="I539" s="1778"/>
      <c r="J539" s="1780"/>
      <c r="K539" s="1780"/>
      <c r="L539" s="1793"/>
      <c r="M539" s="1881"/>
      <c r="N539" s="1881"/>
      <c r="O539" s="1778"/>
      <c r="P539" s="1780"/>
      <c r="Q539" s="1780"/>
      <c r="R539" s="1778"/>
      <c r="S539" s="1780"/>
      <c r="T539" s="1780"/>
      <c r="U539" s="1778"/>
      <c r="V539" s="1792" t="s">
        <v>2646</v>
      </c>
      <c r="W539" s="1778"/>
      <c r="X539" s="1792"/>
    </row>
    <row r="540" spans="1:24" ht="13.8">
      <c r="A540" s="1778"/>
      <c r="B540" s="1778" t="s">
        <v>714</v>
      </c>
      <c r="C540" s="1778"/>
      <c r="D540" s="1778"/>
      <c r="E540" s="1778"/>
      <c r="F540" s="1778"/>
      <c r="G540" s="1778"/>
      <c r="H540" s="1778"/>
      <c r="I540" s="1778"/>
      <c r="J540" s="1807"/>
      <c r="K540" s="1807"/>
      <c r="L540" s="1778"/>
      <c r="M540" s="1807"/>
      <c r="N540" s="1807"/>
      <c r="O540" s="1807" t="str">
        <f>B540</f>
        <v>DCA-RELATED COSTS</v>
      </c>
      <c r="P540" s="1807"/>
      <c r="Q540" s="1807"/>
      <c r="R540" s="1778"/>
      <c r="S540" s="1807"/>
      <c r="T540" s="1807"/>
      <c r="U540" s="1778"/>
      <c r="V540" s="1883"/>
      <c r="W540" s="1778" t="str">
        <f>B540</f>
        <v>DCA-RELATED COSTS</v>
      </c>
      <c r="X540" s="1778"/>
    </row>
    <row r="541" spans="1:24" ht="13.8">
      <c r="A541" s="1778"/>
      <c r="B541" s="1778" t="str">
        <f>CONCATENATE("DCA HOME Loan Consent Pre-Application Fee ($",'DCA Underwriting Assumptions'!$Q$77, " FP/JV, $",'DCA Underwriting Assumptions'!$Q$78, " NP)")</f>
        <v>DCA HOME Loan Consent Pre-Application Fee ($1000 FP/JV, $500 NP)</v>
      </c>
      <c r="C541" s="1778"/>
      <c r="D541" s="1778"/>
      <c r="E541" s="1778"/>
      <c r="F541" s="1778"/>
      <c r="G541" s="1793">
        <f>'Part IV-A-Uses of Funds'!G96</f>
        <v>0</v>
      </c>
      <c r="H541" s="1793"/>
      <c r="I541" s="1778"/>
      <c r="J541" s="1807"/>
      <c r="K541" s="1807"/>
      <c r="L541" s="1807"/>
      <c r="M541" s="1807"/>
      <c r="N541" s="1807"/>
      <c r="O541" s="1778"/>
      <c r="P541" s="1807"/>
      <c r="Q541" s="1807"/>
      <c r="R541" s="1778"/>
      <c r="S541" s="1793">
        <f>'Part IV-A-Uses of Funds'!S96</f>
        <v>0</v>
      </c>
      <c r="T541" s="1793"/>
      <c r="U541" s="1778"/>
      <c r="V541" s="1883">
        <f>'Part IV-A-Uses of Funds'!V96</f>
        <v>0</v>
      </c>
      <c r="W541" s="1202">
        <f>'Part IV-A-Uses of Funds'!W96</f>
        <v>0</v>
      </c>
      <c r="X541" s="1202"/>
    </row>
    <row r="542" spans="1:24" ht="13.8">
      <c r="A542" s="1778"/>
      <c r="B542" s="1778" t="str">
        <f>CONCATENATE("Tax Credit Application Fee ($",'DCA Underwriting Assumptions'!$Q$83, " ForProf/JntVent, $",'DCA Underwriting Assumptions'!$Q$84, " NonProf)")</f>
        <v>Tax Credit Application Fee ($6500 ForProf/JntVent, $5500 NonProf)</v>
      </c>
      <c r="C542" s="1778"/>
      <c r="D542" s="1778"/>
      <c r="E542" s="1778"/>
      <c r="F542" s="1778"/>
      <c r="G542" s="1793">
        <f>'Part IV-A-Uses of Funds'!G97</f>
        <v>6500</v>
      </c>
      <c r="H542" s="1793"/>
      <c r="I542" s="1778"/>
      <c r="J542" s="1807"/>
      <c r="K542" s="1807"/>
      <c r="L542" s="1911"/>
      <c r="M542" s="1807"/>
      <c r="N542" s="1807"/>
      <c r="O542" s="1778"/>
      <c r="P542" s="1807"/>
      <c r="Q542" s="1807"/>
      <c r="R542" s="1778"/>
      <c r="S542" s="1793">
        <f>'Part IV-A-Uses of Funds'!S97</f>
        <v>6500</v>
      </c>
      <c r="T542" s="1793"/>
      <c r="U542" s="1778"/>
      <c r="V542" s="1883">
        <f>'Part IV-A-Uses of Funds'!V97</f>
        <v>0</v>
      </c>
      <c r="W542" s="1202">
        <f>'Part IV-A-Uses of Funds'!W97</f>
        <v>0</v>
      </c>
      <c r="X542" s="1202"/>
    </row>
    <row r="543" spans="1:24" ht="13.8">
      <c r="A543" s="1778"/>
      <c r="B543" s="1778" t="s">
        <v>3801</v>
      </c>
      <c r="C543" s="1778"/>
      <c r="D543" s="1778"/>
      <c r="E543" s="1778"/>
      <c r="F543" s="1778"/>
      <c r="G543" s="1793">
        <f>'Part IV-A-Uses of Funds'!G98</f>
        <v>1000</v>
      </c>
      <c r="H543" s="1793"/>
      <c r="I543" s="1778"/>
      <c r="J543" s="1807"/>
      <c r="K543" s="1807"/>
      <c r="L543" s="1911"/>
      <c r="M543" s="1807"/>
      <c r="N543" s="1807"/>
      <c r="O543" s="1778"/>
      <c r="P543" s="1807"/>
      <c r="Q543" s="1807"/>
      <c r="R543" s="1778"/>
      <c r="S543" s="1793">
        <f>'Part IV-A-Uses of Funds'!S98</f>
        <v>1000</v>
      </c>
      <c r="T543" s="1793"/>
      <c r="U543" s="1778"/>
      <c r="V543" s="1883">
        <f>'Part IV-A-Uses of Funds'!V98</f>
        <v>0</v>
      </c>
      <c r="W543" s="1202">
        <f>'Part IV-A-Uses of Funds'!W98</f>
        <v>0</v>
      </c>
      <c r="X543" s="1202"/>
    </row>
    <row r="544" spans="1:24" ht="13.8">
      <c r="A544" s="1778"/>
      <c r="B544" s="1778" t="s">
        <v>511</v>
      </c>
      <c r="C544" s="1778"/>
      <c r="D544" s="1778"/>
      <c r="E544" s="1912">
        <f>'DCA Underwriting Assumptions'!$Q$88*J620</f>
        <v>68659.28</v>
      </c>
      <c r="F544" s="1912"/>
      <c r="G544" s="1793">
        <f>'Part IV-A-Uses of Funds'!G99</f>
        <v>68660</v>
      </c>
      <c r="H544" s="1793"/>
      <c r="I544" s="1778"/>
      <c r="J544" s="1913" t="str">
        <f>IF(E544&gt;G544,"WARNING!  LIHTC Allocation Fee proposed is below minimum required.","")</f>
        <v/>
      </c>
      <c r="K544" s="1807"/>
      <c r="L544" s="1807"/>
      <c r="M544" s="1807"/>
      <c r="N544" s="1807"/>
      <c r="O544" s="1778"/>
      <c r="P544" s="1807"/>
      <c r="Q544" s="1807"/>
      <c r="R544" s="1778"/>
      <c r="S544" s="1793">
        <f>'Part IV-A-Uses of Funds'!S99</f>
        <v>68660</v>
      </c>
      <c r="T544" s="1793"/>
      <c r="U544" s="1778"/>
      <c r="V544" s="1883">
        <f>'Part IV-A-Uses of Funds'!V99</f>
        <v>0</v>
      </c>
      <c r="W544" s="1202">
        <f>'Part IV-A-Uses of Funds'!W99</f>
        <v>0</v>
      </c>
      <c r="X544" s="1202"/>
    </row>
    <row r="545" spans="1:24" ht="13.8">
      <c r="A545" s="1778"/>
      <c r="B545" s="1778" t="s">
        <v>742</v>
      </c>
      <c r="C545" s="1778"/>
      <c r="D545" s="1778"/>
      <c r="E545" s="191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67200</v>
      </c>
      <c r="F545" s="1912"/>
      <c r="G545" s="1793">
        <f>'Part IV-A-Uses of Funds'!G100</f>
        <v>67200</v>
      </c>
      <c r="H545" s="1793"/>
      <c r="I545" s="1778"/>
      <c r="J545" s="1913" t="str">
        <f>IF(E545&gt;G545,"WARNING!  LIHTC Compliance Fee proposed is below minimum required.","")</f>
        <v/>
      </c>
      <c r="K545" s="1787"/>
      <c r="L545" s="1787"/>
      <c r="M545" s="1787"/>
      <c r="N545" s="1787"/>
      <c r="O545" s="1787"/>
      <c r="P545" s="1787"/>
      <c r="Q545" s="1787"/>
      <c r="R545" s="1778"/>
      <c r="S545" s="1793">
        <f>'Part IV-A-Uses of Funds'!S100</f>
        <v>67200</v>
      </c>
      <c r="T545" s="1793"/>
      <c r="U545" s="1778"/>
      <c r="V545" s="1883">
        <f>'Part IV-A-Uses of Funds'!V100</f>
        <v>0</v>
      </c>
      <c r="W545" s="1202">
        <f>'Part IV-A-Uses of Funds'!W100</f>
        <v>0</v>
      </c>
      <c r="X545" s="1202"/>
    </row>
    <row r="546" spans="1:24" ht="13.8">
      <c r="A546" s="1778"/>
      <c r="B546" s="1778" t="s">
        <v>4032</v>
      </c>
      <c r="C546" s="1778"/>
      <c r="D546" s="1778"/>
      <c r="E546" s="1778"/>
      <c r="F546" s="1914">
        <f>'DCA Underwriting Assumptions'!$Q$90</f>
        <v>3000</v>
      </c>
      <c r="G546" s="1793">
        <f>'Part IV-A-Uses of Funds'!G101</f>
        <v>3000</v>
      </c>
      <c r="H546" s="1793"/>
      <c r="I546" s="1778"/>
      <c r="J546" s="1787"/>
      <c r="K546" s="1787"/>
      <c r="L546" s="1787"/>
      <c r="M546" s="1787"/>
      <c r="N546" s="1787"/>
      <c r="O546" s="1787"/>
      <c r="P546" s="1787"/>
      <c r="Q546" s="1787"/>
      <c r="R546" s="1778"/>
      <c r="S546" s="1793">
        <f>'Part IV-A-Uses of Funds'!S101</f>
        <v>3000</v>
      </c>
      <c r="T546" s="1793"/>
      <c r="U546" s="1778"/>
      <c r="V546" s="1883">
        <f>'Part IV-A-Uses of Funds'!V101</f>
        <v>0</v>
      </c>
      <c r="W546" s="1202">
        <f>'Part IV-A-Uses of Funds'!W101</f>
        <v>0</v>
      </c>
      <c r="X546" s="1202"/>
    </row>
    <row r="547" spans="1:24" ht="13.8">
      <c r="A547" s="1778"/>
      <c r="B547" s="1778" t="s">
        <v>4033</v>
      </c>
      <c r="C547" s="1778"/>
      <c r="D547" s="1778"/>
      <c r="E547" s="1778"/>
      <c r="F547" s="1914">
        <f>'DCA Underwriting Assumptions'!$Q$113</f>
        <v>3000</v>
      </c>
      <c r="G547" s="1793">
        <f>'Part IV-A-Uses of Funds'!G102</f>
        <v>3000</v>
      </c>
      <c r="H547" s="1793"/>
      <c r="I547" s="1778"/>
      <c r="J547" s="1787"/>
      <c r="K547" s="1787"/>
      <c r="L547" s="1787"/>
      <c r="M547" s="1787"/>
      <c r="N547" s="1787"/>
      <c r="O547" s="1787"/>
      <c r="P547" s="1787"/>
      <c r="Q547" s="1787"/>
      <c r="R547" s="1778"/>
      <c r="S547" s="1793">
        <f>'Part IV-A-Uses of Funds'!S102</f>
        <v>3000</v>
      </c>
      <c r="T547" s="1793"/>
      <c r="U547" s="1778"/>
      <c r="V547" s="1883">
        <f>'Part IV-A-Uses of Funds'!V102</f>
        <v>0</v>
      </c>
      <c r="W547" s="1202">
        <f>'Part IV-A-Uses of Funds'!W102</f>
        <v>0</v>
      </c>
      <c r="X547" s="1202"/>
    </row>
    <row r="548" spans="1:24" ht="15.75" customHeight="1">
      <c r="A548" s="1884" t="str">
        <f>IF(AND(G548&gt;0,OR(C548="",C548="&lt;Enter detailed description here; use Comments section if needed&gt;")),"X","")</f>
        <v/>
      </c>
      <c r="B548" s="1778" t="s">
        <v>730</v>
      </c>
      <c r="C548" s="1795" t="str">
        <f>'Part IV-A-Uses of Funds'!C103</f>
        <v>&lt;&lt; Enter description here; provide detail &amp; justification in tab Part IV-b &gt;&gt;</v>
      </c>
      <c r="D548" s="1795"/>
      <c r="E548" s="1795"/>
      <c r="F548" s="1795"/>
      <c r="G548" s="1793">
        <f>'Part IV-A-Uses of Funds'!G103</f>
        <v>0</v>
      </c>
      <c r="H548" s="1793"/>
      <c r="I548" s="1778"/>
      <c r="J548" s="1787"/>
      <c r="K548" s="1787"/>
      <c r="L548" s="1787"/>
      <c r="M548" s="1787"/>
      <c r="N548" s="1787"/>
      <c r="O548" s="1787"/>
      <c r="P548" s="1787"/>
      <c r="Q548" s="1787"/>
      <c r="R548" s="1778"/>
      <c r="S548" s="1793">
        <f>'Part IV-A-Uses of Funds'!S103</f>
        <v>0</v>
      </c>
      <c r="T548" s="1793"/>
      <c r="U548" s="1781" t="str">
        <f>IF(AND(G548&gt;0,OR(C548="",C548="&lt;Enter detailed description here; use Comments section if needed&gt;")),"NO DESCRIPTION PROVIDED - please enter detailed description in Other box at left; use Comments section below if needed.","")</f>
        <v/>
      </c>
      <c r="V548" s="1883">
        <f>'Part IV-A-Uses of Funds'!V103</f>
        <v>0</v>
      </c>
      <c r="W548" s="1202">
        <f>'Part IV-A-Uses of Funds'!W103</f>
        <v>0</v>
      </c>
      <c r="X548" s="1202"/>
    </row>
    <row r="549" spans="1:24" ht="16.5" customHeight="1">
      <c r="A549" s="1884" t="str">
        <f>IF(AND(G549&gt;0,OR(C549="",C549="&lt;Enter detailed description here; use Comments section if needed&gt;")),"X","")</f>
        <v/>
      </c>
      <c r="B549" s="1778" t="s">
        <v>730</v>
      </c>
      <c r="C549" s="1795" t="str">
        <f>'Part IV-A-Uses of Funds'!C104</f>
        <v>&lt;&lt; Enter description here; provide detail &amp; justification in tab Part IV-b &gt;&gt;</v>
      </c>
      <c r="D549" s="1795"/>
      <c r="E549" s="1795"/>
      <c r="F549" s="1795"/>
      <c r="G549" s="1793">
        <f>'Part IV-A-Uses of Funds'!G104</f>
        <v>0</v>
      </c>
      <c r="H549" s="1793"/>
      <c r="I549" s="1778"/>
      <c r="J549" s="1787"/>
      <c r="K549" s="1787"/>
      <c r="L549" s="1787"/>
      <c r="M549" s="1787"/>
      <c r="N549" s="1787"/>
      <c r="O549" s="1787"/>
      <c r="P549" s="1787"/>
      <c r="Q549" s="1787"/>
      <c r="R549" s="1778"/>
      <c r="S549" s="1793">
        <f>'Part IV-A-Uses of Funds'!S104</f>
        <v>0</v>
      </c>
      <c r="T549" s="1793"/>
      <c r="U549" s="1781" t="str">
        <f>IF(AND(G549&gt;0,OR(C549="",C549="&lt;Enter detailed description here; use Comments section if needed&gt;")),"NO DESCRIPTION PROVIDED - please enter detailed description in Other box at left; use Comments section below if needed.","")</f>
        <v/>
      </c>
      <c r="V549" s="1883">
        <f>'Part IV-A-Uses of Funds'!V104</f>
        <v>0</v>
      </c>
      <c r="W549" s="1202">
        <f>'Part IV-A-Uses of Funds'!W104</f>
        <v>0</v>
      </c>
      <c r="X549" s="1202"/>
    </row>
    <row r="550" spans="1:24" ht="13.8">
      <c r="A550" s="1778"/>
      <c r="B550" s="1778"/>
      <c r="C550" s="1778"/>
      <c r="D550" s="1778"/>
      <c r="E550" s="1778"/>
      <c r="F550" s="1885" t="s">
        <v>189</v>
      </c>
      <c r="G550" s="1793">
        <f>SUM(G541:H549)</f>
        <v>149360</v>
      </c>
      <c r="H550" s="1793"/>
      <c r="I550" s="1778"/>
      <c r="J550" s="1807"/>
      <c r="K550" s="1807"/>
      <c r="L550" s="1807"/>
      <c r="M550" s="1807"/>
      <c r="N550" s="1807"/>
      <c r="O550" s="1778"/>
      <c r="P550" s="1807"/>
      <c r="Q550" s="1807"/>
      <c r="R550" s="1778"/>
      <c r="S550" s="1793">
        <f>SUM(S541:T549)</f>
        <v>149360</v>
      </c>
      <c r="T550" s="1793"/>
      <c r="U550" s="1778"/>
      <c r="V550" s="1883">
        <f>SUM(V541:V549)</f>
        <v>0</v>
      </c>
      <c r="W550" s="1202">
        <f>'Part IV-A-Uses of Funds'!W105</f>
        <v>0</v>
      </c>
      <c r="X550" s="1202"/>
    </row>
    <row r="551" spans="1:24" ht="13.8">
      <c r="A551" s="1778"/>
      <c r="B551" s="1778" t="s">
        <v>2270</v>
      </c>
      <c r="C551" s="1778"/>
      <c r="D551" s="1778"/>
      <c r="E551" s="1778"/>
      <c r="F551" s="1778"/>
      <c r="G551" s="1778"/>
      <c r="H551" s="1778"/>
      <c r="I551" s="1778"/>
      <c r="J551" s="1807"/>
      <c r="K551" s="1807"/>
      <c r="L551" s="1778"/>
      <c r="M551" s="1807"/>
      <c r="N551" s="1807"/>
      <c r="O551" s="1807" t="str">
        <f>B551</f>
        <v>EQUITY COSTS</v>
      </c>
      <c r="P551" s="1807"/>
      <c r="Q551" s="1807"/>
      <c r="R551" s="1778"/>
      <c r="S551" s="1807"/>
      <c r="T551" s="1807"/>
      <c r="U551" s="1778"/>
      <c r="V551" s="1883"/>
      <c r="W551" s="1778" t="str">
        <f>B551</f>
        <v>EQUITY COSTS</v>
      </c>
      <c r="X551" s="1778"/>
    </row>
    <row r="552" spans="1:24" ht="13.8">
      <c r="A552" s="1778"/>
      <c r="B552" s="1778" t="s">
        <v>276</v>
      </c>
      <c r="C552" s="1778"/>
      <c r="D552" s="1778"/>
      <c r="E552" s="1778"/>
      <c r="F552" s="1778"/>
      <c r="G552" s="1793">
        <f>'Part IV-A-Uses of Funds'!G107</f>
        <v>0</v>
      </c>
      <c r="H552" s="1793"/>
      <c r="I552" s="1778"/>
      <c r="J552" s="1793"/>
      <c r="K552" s="1793"/>
      <c r="L552" s="1807"/>
      <c r="M552" s="1793"/>
      <c r="N552" s="1793"/>
      <c r="O552" s="1778"/>
      <c r="P552" s="1793"/>
      <c r="Q552" s="1793"/>
      <c r="R552" s="1778"/>
      <c r="S552" s="1793">
        <f>'Part IV-A-Uses of Funds'!S107</f>
        <v>0</v>
      </c>
      <c r="T552" s="1793"/>
      <c r="U552" s="1778"/>
      <c r="V552" s="1883">
        <f>'Part IV-A-Uses of Funds'!V107</f>
        <v>0</v>
      </c>
      <c r="W552" s="1202">
        <f>'Part IV-A-Uses of Funds'!W107</f>
        <v>0</v>
      </c>
      <c r="X552" s="1202"/>
    </row>
    <row r="553" spans="1:24" ht="13.8">
      <c r="A553" s="1778"/>
      <c r="B553" s="1778" t="s">
        <v>277</v>
      </c>
      <c r="C553" s="1778"/>
      <c r="D553" s="1778"/>
      <c r="E553" s="1778"/>
      <c r="F553" s="1778"/>
      <c r="G553" s="1793">
        <f>'Part IV-A-Uses of Funds'!G108</f>
        <v>0</v>
      </c>
      <c r="H553" s="1793"/>
      <c r="I553" s="1778"/>
      <c r="J553" s="1793"/>
      <c r="K553" s="1793"/>
      <c r="L553" s="1807"/>
      <c r="M553" s="1793"/>
      <c r="N553" s="1793"/>
      <c r="O553" s="1778"/>
      <c r="P553" s="1793"/>
      <c r="Q553" s="1793"/>
      <c r="R553" s="1778"/>
      <c r="S553" s="1793">
        <f>'Part IV-A-Uses of Funds'!S108</f>
        <v>0</v>
      </c>
      <c r="T553" s="1793"/>
      <c r="U553" s="1778"/>
      <c r="V553" s="1883">
        <f>'Part IV-A-Uses of Funds'!V108</f>
        <v>0</v>
      </c>
      <c r="W553" s="1202">
        <f>'Part IV-A-Uses of Funds'!W108</f>
        <v>0</v>
      </c>
      <c r="X553" s="1202"/>
    </row>
    <row r="554" spans="1:24" ht="13.8">
      <c r="A554" s="1778"/>
      <c r="B554" s="1778" t="s">
        <v>2355</v>
      </c>
      <c r="C554" s="1778"/>
      <c r="D554" s="1778"/>
      <c r="E554" s="1778"/>
      <c r="F554" s="1778"/>
      <c r="G554" s="1793">
        <f>'Part IV-A-Uses of Funds'!G109</f>
        <v>0</v>
      </c>
      <c r="H554" s="1793"/>
      <c r="I554" s="1778"/>
      <c r="J554" s="1793"/>
      <c r="K554" s="1793"/>
      <c r="L554" s="1807"/>
      <c r="M554" s="1793"/>
      <c r="N554" s="1793"/>
      <c r="O554" s="1778"/>
      <c r="P554" s="1793"/>
      <c r="Q554" s="1793"/>
      <c r="R554" s="1778"/>
      <c r="S554" s="1793">
        <f>'Part IV-A-Uses of Funds'!S109</f>
        <v>0</v>
      </c>
      <c r="T554" s="1793"/>
      <c r="U554" s="1778"/>
      <c r="V554" s="1883">
        <f>'Part IV-A-Uses of Funds'!V109</f>
        <v>0</v>
      </c>
      <c r="W554" s="1202">
        <f>'Part IV-A-Uses of Funds'!W109</f>
        <v>0</v>
      </c>
      <c r="X554" s="1202"/>
    </row>
    <row r="555" spans="1:24" ht="16.5" customHeight="1">
      <c r="A555" s="1884" t="str">
        <f>IF(AND(G555&gt;0,OR(C555="",C555="&lt;Enter detailed description here; use Comments section if needed&gt;")),"X","")</f>
        <v/>
      </c>
      <c r="B555" s="1778" t="s">
        <v>730</v>
      </c>
      <c r="C555" s="1795" t="str">
        <f>'Part IV-A-Uses of Funds'!C110</f>
        <v>Due Diligence Review Fee</v>
      </c>
      <c r="D555" s="1795"/>
      <c r="E555" s="1795"/>
      <c r="F555" s="1795"/>
      <c r="G555" s="1793">
        <f>'Part IV-A-Uses of Funds'!G110</f>
        <v>25000</v>
      </c>
      <c r="H555" s="1793"/>
      <c r="I555" s="1778"/>
      <c r="J555" s="1793"/>
      <c r="K555" s="1793"/>
      <c r="L555" s="1807"/>
      <c r="M555" s="1793"/>
      <c r="N555" s="1793"/>
      <c r="O555" s="1778"/>
      <c r="P555" s="1793"/>
      <c r="Q555" s="1793"/>
      <c r="R555" s="1778"/>
      <c r="S555" s="1793">
        <f>'Part IV-A-Uses of Funds'!S110</f>
        <v>25000</v>
      </c>
      <c r="T555" s="1793"/>
      <c r="U555" s="1781" t="str">
        <f>IF(AND(G555&gt;0,OR(C555="",C555="&lt;Enter detailed description here; use Comments section if needed&gt;")),"NO DESCRIPTION PROVIDED - please enter detailed description in Other box at left; use Comments section below if needed.","")</f>
        <v/>
      </c>
      <c r="V555" s="1883">
        <f>'Part IV-A-Uses of Funds'!V110</f>
        <v>0</v>
      </c>
      <c r="W555" s="1202">
        <f>'Part IV-A-Uses of Funds'!W110</f>
        <v>0</v>
      </c>
      <c r="X555" s="1202"/>
    </row>
    <row r="556" spans="1:24" ht="13.8">
      <c r="A556" s="1778"/>
      <c r="B556" s="1778"/>
      <c r="C556" s="1778"/>
      <c r="D556" s="1778"/>
      <c r="E556" s="1778"/>
      <c r="F556" s="1885" t="s">
        <v>189</v>
      </c>
      <c r="G556" s="1793">
        <f>SUM(G552:H555)</f>
        <v>25000</v>
      </c>
      <c r="H556" s="1793"/>
      <c r="I556" s="1778"/>
      <c r="J556" s="1793"/>
      <c r="K556" s="1793"/>
      <c r="L556" s="1807"/>
      <c r="M556" s="1793"/>
      <c r="N556" s="1793"/>
      <c r="O556" s="1778"/>
      <c r="P556" s="1793"/>
      <c r="Q556" s="1793"/>
      <c r="R556" s="1778"/>
      <c r="S556" s="1793">
        <f>SUM(S552:T555)</f>
        <v>25000</v>
      </c>
      <c r="T556" s="1793"/>
      <c r="U556" s="1778"/>
      <c r="V556" s="1883">
        <f>SUM(V552:V555)</f>
        <v>0</v>
      </c>
      <c r="W556" s="1202">
        <f>'Part IV-A-Uses of Funds'!W111</f>
        <v>0</v>
      </c>
      <c r="X556" s="1202"/>
    </row>
    <row r="557" spans="1:24" ht="13.8">
      <c r="A557" s="1778"/>
      <c r="B557" s="1778" t="s">
        <v>278</v>
      </c>
      <c r="C557" s="1778"/>
      <c r="D557" s="1778"/>
      <c r="E557" s="1778"/>
      <c r="F557" s="1778"/>
      <c r="G557" s="1778"/>
      <c r="H557" s="1778"/>
      <c r="I557" s="1778"/>
      <c r="J557" s="1807"/>
      <c r="K557" s="1793"/>
      <c r="L557" s="1778"/>
      <c r="M557" s="1807"/>
      <c r="N557" s="1793"/>
      <c r="O557" s="1807" t="str">
        <f>B557</f>
        <v>DEVELOPER'S FEE</v>
      </c>
      <c r="P557" s="1807"/>
      <c r="Q557" s="1793"/>
      <c r="R557" s="1778"/>
      <c r="S557" s="1807"/>
      <c r="T557" s="1793"/>
      <c r="U557" s="1778"/>
      <c r="V557" s="1883"/>
      <c r="W557" s="1778" t="str">
        <f>B557</f>
        <v>DEVELOPER'S FEE</v>
      </c>
      <c r="X557" s="1778"/>
    </row>
    <row r="558" spans="1:24" ht="13.8">
      <c r="A558" s="1778"/>
      <c r="B558" s="1778" t="s">
        <v>1835</v>
      </c>
      <c r="C558" s="1778"/>
      <c r="D558" s="1778"/>
      <c r="E558" s="1778"/>
      <c r="F558" s="1865">
        <f>IF($G$118=0,0,G558/$G$118)</f>
        <v>0</v>
      </c>
      <c r="G558" s="1793">
        <f>'Part IV-A-Uses of Funds'!G113</f>
        <v>0</v>
      </c>
      <c r="H558" s="1793"/>
      <c r="I558" s="1778"/>
      <c r="J558" s="1793">
        <f>'Part IV-A-Uses of Funds'!J113</f>
        <v>0</v>
      </c>
      <c r="K558" s="1793"/>
      <c r="L558" s="1807"/>
      <c r="M558" s="1793">
        <f>'Part IV-A-Uses of Funds'!M113</f>
        <v>0</v>
      </c>
      <c r="N558" s="1793"/>
      <c r="O558" s="1778"/>
      <c r="P558" s="1793">
        <f>'Part IV-A-Uses of Funds'!P113</f>
        <v>0</v>
      </c>
      <c r="Q558" s="1793"/>
      <c r="R558" s="1778"/>
      <c r="S558" s="1793">
        <f>'Part IV-A-Uses of Funds'!S113</f>
        <v>0</v>
      </c>
      <c r="T558" s="1793"/>
      <c r="U558" s="1778"/>
      <c r="V558" s="1883">
        <f>'Part IV-A-Uses of Funds'!V113</f>
        <v>0</v>
      </c>
      <c r="W558" s="1202">
        <f>'Part IV-A-Uses of Funds'!W113</f>
        <v>0</v>
      </c>
      <c r="X558" s="1202"/>
    </row>
    <row r="559" spans="1:24" ht="13.8">
      <c r="A559" s="1778"/>
      <c r="B559" s="1778" t="s">
        <v>3989</v>
      </c>
      <c r="C559" s="1778"/>
      <c r="D559" s="1778"/>
      <c r="E559" s="1778"/>
      <c r="F559" s="1915"/>
      <c r="G559" s="1778"/>
      <c r="H559" s="1778"/>
      <c r="I559" s="1778"/>
      <c r="J559" s="1778"/>
      <c r="K559" s="1778"/>
      <c r="L559" s="1778"/>
      <c r="M559" s="1778"/>
      <c r="N559" s="1778"/>
      <c r="O559" s="1778"/>
      <c r="P559" s="1778"/>
      <c r="Q559" s="1778"/>
      <c r="R559" s="1778"/>
      <c r="S559" s="1778"/>
      <c r="T559" s="1778"/>
      <c r="U559" s="1778"/>
      <c r="V559" s="1883">
        <f>'Part IV-A-Uses of Funds'!V114</f>
        <v>0</v>
      </c>
      <c r="W559" s="1202">
        <f>'Part IV-A-Uses of Funds'!W114</f>
        <v>0</v>
      </c>
      <c r="X559" s="1202"/>
    </row>
    <row r="560" spans="1:24" ht="13.8">
      <c r="A560" s="1778"/>
      <c r="B560" s="1778" t="s">
        <v>1836</v>
      </c>
      <c r="C560" s="1778"/>
      <c r="D560" s="1778"/>
      <c r="E560" s="1778"/>
      <c r="F560" s="1865">
        <f>IF($G$118=0,0,G560/$G$118)</f>
        <v>0</v>
      </c>
      <c r="G560" s="1793">
        <f>'Part IV-A-Uses of Funds'!G115</f>
        <v>30000</v>
      </c>
      <c r="H560" s="1793"/>
      <c r="I560" s="1778"/>
      <c r="J560" s="1793">
        <f>'Part IV-A-Uses of Funds'!J115</f>
        <v>30000</v>
      </c>
      <c r="K560" s="1793"/>
      <c r="L560" s="1807"/>
      <c r="M560" s="1793">
        <f>'Part IV-A-Uses of Funds'!M115</f>
        <v>0</v>
      </c>
      <c r="N560" s="1793"/>
      <c r="O560" s="1778"/>
      <c r="P560" s="1793">
        <f>'Part IV-A-Uses of Funds'!P115</f>
        <v>0</v>
      </c>
      <c r="Q560" s="1793"/>
      <c r="R560" s="1778"/>
      <c r="S560" s="1793">
        <f>'Part IV-A-Uses of Funds'!S115</f>
        <v>0</v>
      </c>
      <c r="T560" s="1793"/>
      <c r="U560" s="1778"/>
      <c r="V560" s="1883">
        <f>'Part IV-A-Uses of Funds'!V115</f>
        <v>0</v>
      </c>
      <c r="W560" s="1202">
        <f>'Part IV-A-Uses of Funds'!W115</f>
        <v>0</v>
      </c>
      <c r="X560" s="1202"/>
    </row>
    <row r="561" spans="1:24" ht="13.8">
      <c r="A561" s="1778"/>
      <c r="B561" s="1778" t="s">
        <v>3540</v>
      </c>
      <c r="C561" s="1778"/>
      <c r="D561" s="1778"/>
      <c r="E561" s="1778"/>
      <c r="F561" s="1865">
        <f>IF($G$118=0,0,G561/$G$118)</f>
        <v>0</v>
      </c>
      <c r="G561" s="1793">
        <f>'Part IV-A-Uses of Funds'!G116</f>
        <v>0</v>
      </c>
      <c r="H561" s="1793"/>
      <c r="I561" s="1778"/>
      <c r="J561" s="1793">
        <f>'Part IV-A-Uses of Funds'!J116</f>
        <v>0</v>
      </c>
      <c r="K561" s="1793"/>
      <c r="L561" s="1807"/>
      <c r="M561" s="1793">
        <f>'Part IV-A-Uses of Funds'!M116</f>
        <v>0</v>
      </c>
      <c r="N561" s="1793"/>
      <c r="O561" s="1778"/>
      <c r="P561" s="1793">
        <f>'Part IV-A-Uses of Funds'!P116</f>
        <v>0</v>
      </c>
      <c r="Q561" s="1793"/>
      <c r="R561" s="1778"/>
      <c r="S561" s="1793">
        <f>'Part IV-A-Uses of Funds'!S116</f>
        <v>0</v>
      </c>
      <c r="T561" s="1793"/>
      <c r="U561" s="1778"/>
      <c r="V561" s="1883">
        <f>'Part IV-A-Uses of Funds'!V116</f>
        <v>0</v>
      </c>
      <c r="W561" s="1202">
        <f>'Part IV-A-Uses of Funds'!W116</f>
        <v>0</v>
      </c>
      <c r="X561" s="1202"/>
    </row>
    <row r="562" spans="1:24" ht="13.8">
      <c r="A562" s="1778"/>
      <c r="B562" s="1778" t="s">
        <v>1828</v>
      </c>
      <c r="C562" s="1778"/>
      <c r="D562" s="1778"/>
      <c r="E562" s="1778"/>
      <c r="F562" s="1865">
        <f>IF($G$118=0,0,G562/$G$118)</f>
        <v>0</v>
      </c>
      <c r="G562" s="1793">
        <f>'Part IV-A-Uses of Funds'!G117</f>
        <v>1770000</v>
      </c>
      <c r="H562" s="1793"/>
      <c r="I562" s="1778"/>
      <c r="J562" s="1793">
        <f>'Part IV-A-Uses of Funds'!J117</f>
        <v>1770000</v>
      </c>
      <c r="K562" s="1793"/>
      <c r="L562" s="1807"/>
      <c r="M562" s="1793">
        <f>'Part IV-A-Uses of Funds'!M117</f>
        <v>0</v>
      </c>
      <c r="N562" s="1793"/>
      <c r="O562" s="1778"/>
      <c r="P562" s="1793">
        <f>'Part IV-A-Uses of Funds'!P117</f>
        <v>0</v>
      </c>
      <c r="Q562" s="1793"/>
      <c r="R562" s="1778"/>
      <c r="S562" s="1793">
        <f>'Part IV-A-Uses of Funds'!S117</f>
        <v>0</v>
      </c>
      <c r="T562" s="1793"/>
      <c r="U562" s="1778"/>
      <c r="V562" s="1883">
        <f>'Part IV-A-Uses of Funds'!V117</f>
        <v>0</v>
      </c>
      <c r="W562" s="1202">
        <f>'Part IV-A-Uses of Funds'!W117</f>
        <v>0</v>
      </c>
      <c r="X562" s="1202"/>
    </row>
    <row r="563" spans="1:24" ht="13.8">
      <c r="A563" s="1778"/>
      <c r="B563" s="1778"/>
      <c r="C563" s="1781"/>
      <c r="D563" s="1778"/>
      <c r="E563" s="1778"/>
      <c r="F563" s="1885" t="s">
        <v>189</v>
      </c>
      <c r="G563" s="1916">
        <f>SUM(G558:H562)</f>
        <v>1800000</v>
      </c>
      <c r="H563" s="1916"/>
      <c r="I563" s="1778"/>
      <c r="J563" s="1793">
        <f>SUM(J558:K562)</f>
        <v>1800000</v>
      </c>
      <c r="K563" s="1793"/>
      <c r="L563" s="1807"/>
      <c r="M563" s="1793">
        <f>SUM(M558:N562)</f>
        <v>0</v>
      </c>
      <c r="N563" s="1793"/>
      <c r="O563" s="1778"/>
      <c r="P563" s="1793">
        <f>SUM(P558:Q562)</f>
        <v>0</v>
      </c>
      <c r="Q563" s="1793"/>
      <c r="R563" s="1778"/>
      <c r="S563" s="1793">
        <f>SUM(S558:T562)</f>
        <v>0</v>
      </c>
      <c r="T563" s="1793"/>
      <c r="U563" s="1778"/>
      <c r="V563" s="1883">
        <f>SUM(V558:V562)</f>
        <v>0</v>
      </c>
      <c r="W563" s="1202">
        <f>'Part IV-A-Uses of Funds'!W118</f>
        <v>0</v>
      </c>
      <c r="X563" s="1202"/>
    </row>
    <row r="564" spans="1:24" ht="13.8">
      <c r="A564" s="1778"/>
      <c r="B564" s="1778" t="s">
        <v>1294</v>
      </c>
      <c r="C564" s="1778"/>
      <c r="D564" s="1778"/>
      <c r="E564" s="1778"/>
      <c r="F564" s="1778"/>
      <c r="G564" s="1778"/>
      <c r="H564" s="1778"/>
      <c r="I564" s="1778"/>
      <c r="J564" s="1793"/>
      <c r="K564" s="1793"/>
      <c r="L564" s="1778"/>
      <c r="M564" s="1793"/>
      <c r="N564" s="1793"/>
      <c r="O564" s="1807" t="str">
        <f>B564</f>
        <v>START-UP AND RESERVES</v>
      </c>
      <c r="P564" s="1793"/>
      <c r="Q564" s="1793"/>
      <c r="R564" s="1778"/>
      <c r="S564" s="1793"/>
      <c r="T564" s="1793"/>
      <c r="U564" s="1778"/>
      <c r="V564" s="1883"/>
      <c r="W564" s="1778" t="str">
        <f>B564</f>
        <v>START-UP AND RESERVES</v>
      </c>
      <c r="X564" s="1778"/>
    </row>
    <row r="565" spans="1:24" ht="13.8">
      <c r="A565" s="1778"/>
      <c r="B565" s="1778" t="s">
        <v>248</v>
      </c>
      <c r="C565" s="1778"/>
      <c r="D565" s="1778"/>
      <c r="E565" s="1778"/>
      <c r="F565" s="1778"/>
      <c r="G565" s="1793">
        <f>'Part IV-A-Uses of Funds'!G120</f>
        <v>40000</v>
      </c>
      <c r="H565" s="1793"/>
      <c r="I565" s="1778"/>
      <c r="J565" s="1911"/>
      <c r="K565" s="1911"/>
      <c r="L565" s="1911"/>
      <c r="M565" s="1911"/>
      <c r="N565" s="1911"/>
      <c r="O565" s="1778"/>
      <c r="P565" s="1911"/>
      <c r="Q565" s="1911"/>
      <c r="R565" s="1778"/>
      <c r="S565" s="1793">
        <f>'Part IV-A-Uses of Funds'!S120</f>
        <v>40000</v>
      </c>
      <c r="T565" s="1793"/>
      <c r="U565" s="1778"/>
      <c r="V565" s="1883">
        <f>'Part IV-A-Uses of Funds'!V120</f>
        <v>0</v>
      </c>
      <c r="W565" s="1202">
        <f>'Part IV-A-Uses of Funds'!W120</f>
        <v>0</v>
      </c>
      <c r="X565" s="1202"/>
    </row>
    <row r="566" spans="1:24" ht="13.8">
      <c r="A566" s="1778"/>
      <c r="B566" s="1778" t="s">
        <v>1517</v>
      </c>
      <c r="C566" s="1778"/>
      <c r="D566" s="1778"/>
      <c r="E566" s="1778"/>
      <c r="F566" s="1839">
        <f>+'Part VI-Revenues &amp; Expenses'!$P$226*('DCA Underwriting Assumptions'!$Q$112/12)</f>
        <v>114043.5</v>
      </c>
      <c r="G566" s="1793">
        <f>'Part IV-A-Uses of Funds'!G121</f>
        <v>114043</v>
      </c>
      <c r="H566" s="1793"/>
      <c r="I566" s="1778"/>
      <c r="J566" s="1917" t="str">
        <f>IF(E566&gt;G566,"WARNING! Rent-Up Reserves proposed is below minimum - add comment.","")</f>
        <v/>
      </c>
      <c r="K566" s="1917"/>
      <c r="L566" s="1807"/>
      <c r="M566" s="1793"/>
      <c r="N566" s="1793"/>
      <c r="O566" s="1778"/>
      <c r="P566" s="1793"/>
      <c r="Q566" s="1793"/>
      <c r="R566" s="1778"/>
      <c r="S566" s="1793">
        <f>'Part IV-A-Uses of Funds'!S121</f>
        <v>114043</v>
      </c>
      <c r="T566" s="1793"/>
      <c r="U566" s="1778"/>
      <c r="V566" s="1883">
        <f>'Part IV-A-Uses of Funds'!V121</f>
        <v>0</v>
      </c>
      <c r="W566" s="1202">
        <f>'Part IV-A-Uses of Funds'!W121</f>
        <v>0</v>
      </c>
      <c r="X566" s="1202"/>
    </row>
    <row r="567" spans="1:24" ht="13.8">
      <c r="A567" s="1778"/>
      <c r="B567" s="1778" t="s">
        <v>667</v>
      </c>
      <c r="C567" s="1778"/>
      <c r="D567" s="1778"/>
      <c r="E567" s="1778"/>
      <c r="F567" s="1839">
        <f>'Part VI-Revenues &amp; Expenses'!$P$226*('DCA Underwriting Assumptions'!$Q$111/12)+('Part VII-Pro Forma'!$B$25+'Part VII-Pro Forma'!$B$26+'Part VII-Pro Forma'!$B$27+'Part VII-Pro Forma'!$B$28)*'DCA Underwriting Assumptions'!$Q$110/(-12)</f>
        <v>333358.72177942633</v>
      </c>
      <c r="G567" s="1793">
        <f>'Part IV-A-Uses of Funds'!G122</f>
        <v>333359</v>
      </c>
      <c r="H567" s="1793"/>
      <c r="I567" s="1778"/>
      <c r="J567" s="1917" t="str">
        <f>IF(E567&gt;G567,"WARNING! ODR proposed is below minimum - add comment.","")</f>
        <v/>
      </c>
      <c r="K567" s="1911"/>
      <c r="L567" s="1911"/>
      <c r="M567" s="1911"/>
      <c r="N567" s="1911"/>
      <c r="O567" s="1778"/>
      <c r="P567" s="1911"/>
      <c r="Q567" s="1911"/>
      <c r="R567" s="1778"/>
      <c r="S567" s="1793">
        <f>'Part IV-A-Uses of Funds'!S122</f>
        <v>333359</v>
      </c>
      <c r="T567" s="1793"/>
      <c r="U567" s="1778"/>
      <c r="V567" s="1883">
        <f>'Part IV-A-Uses of Funds'!V122</f>
        <v>0</v>
      </c>
      <c r="W567" s="1202">
        <f>'Part IV-A-Uses of Funds'!W122</f>
        <v>0</v>
      </c>
      <c r="X567" s="1202"/>
    </row>
    <row r="568" spans="1:24" ht="13.8">
      <c r="A568" s="1778"/>
      <c r="B568" s="1778" t="s">
        <v>1229</v>
      </c>
      <c r="C568" s="1778"/>
      <c r="D568" s="1778"/>
      <c r="E568" s="1778"/>
      <c r="F568" s="1778"/>
      <c r="G568" s="1793">
        <f>'Part IV-A-Uses of Funds'!G123</f>
        <v>0</v>
      </c>
      <c r="H568" s="1793"/>
      <c r="I568" s="1778"/>
      <c r="J568" s="1911"/>
      <c r="K568" s="1911"/>
      <c r="L568" s="1911"/>
      <c r="M568" s="1911"/>
      <c r="N568" s="1911"/>
      <c r="O568" s="1778"/>
      <c r="P568" s="1911"/>
      <c r="Q568" s="1911"/>
      <c r="R568" s="1778"/>
      <c r="S568" s="1793">
        <f>'Part IV-A-Uses of Funds'!S123</f>
        <v>0</v>
      </c>
      <c r="T568" s="1793"/>
      <c r="U568" s="1778"/>
      <c r="V568" s="1883">
        <f>'Part IV-A-Uses of Funds'!V123</f>
        <v>0</v>
      </c>
      <c r="W568" s="1202">
        <f>'Part IV-A-Uses of Funds'!W123</f>
        <v>0</v>
      </c>
      <c r="X568" s="1202"/>
    </row>
    <row r="569" spans="1:24" ht="13.8">
      <c r="A569" s="1778"/>
      <c r="B569" s="1778" t="s">
        <v>1230</v>
      </c>
      <c r="C569" s="1778"/>
      <c r="D569" s="1778"/>
      <c r="E569" s="1886" t="s">
        <v>3496</v>
      </c>
      <c r="F569" s="1839">
        <f>IF('Part VI-Revenues &amp; Expenses'!$O$67=0,0,G569/'Part VI-Revenues &amp; Expenses'!$O$67)</f>
        <v>2678.5714285714284</v>
      </c>
      <c r="G569" s="1793">
        <f>'Part IV-A-Uses of Funds'!G124</f>
        <v>225000</v>
      </c>
      <c r="H569" s="1793"/>
      <c r="I569" s="1778"/>
      <c r="J569" s="1793">
        <f>'Part IV-A-Uses of Funds'!J124</f>
        <v>0</v>
      </c>
      <c r="K569" s="1793"/>
      <c r="L569" s="1807"/>
      <c r="M569" s="1793">
        <f>'Part IV-A-Uses of Funds'!M124</f>
        <v>0</v>
      </c>
      <c r="N569" s="1793"/>
      <c r="O569" s="1778"/>
      <c r="P569" s="1793">
        <f>'Part IV-A-Uses of Funds'!P124</f>
        <v>0</v>
      </c>
      <c r="Q569" s="1793"/>
      <c r="R569" s="1778"/>
      <c r="S569" s="1793">
        <f>'Part IV-A-Uses of Funds'!S124</f>
        <v>225000</v>
      </c>
      <c r="T569" s="1793"/>
      <c r="U569" s="1778"/>
      <c r="V569" s="1883">
        <f>'Part IV-A-Uses of Funds'!V124</f>
        <v>0</v>
      </c>
      <c r="W569" s="1202">
        <f>'Part IV-A-Uses of Funds'!W124</f>
        <v>0</v>
      </c>
      <c r="X569" s="1202"/>
    </row>
    <row r="570" spans="1:24" ht="16.5" customHeight="1">
      <c r="A570" s="1884" t="str">
        <f>IF(AND(G570&gt;0,OR(C570="",C570="&lt;Enter detailed description here; use Comments section if needed&gt;")),"X","")</f>
        <v/>
      </c>
      <c r="B570" s="1778" t="s">
        <v>730</v>
      </c>
      <c r="C570" s="1795" t="str">
        <f>'Part IV-A-Uses of Funds'!C125</f>
        <v>&lt;&lt; Enter description here; provide detail &amp; justification in tab Part IV-b &gt;&gt;</v>
      </c>
      <c r="D570" s="1795"/>
      <c r="E570" s="1795"/>
      <c r="F570" s="1795"/>
      <c r="G570" s="1793">
        <f>'Part IV-A-Uses of Funds'!G125</f>
        <v>0</v>
      </c>
      <c r="H570" s="1793"/>
      <c r="I570" s="1778"/>
      <c r="J570" s="1793">
        <f>'Part IV-A-Uses of Funds'!J125</f>
        <v>0</v>
      </c>
      <c r="K570" s="1793"/>
      <c r="L570" s="1807"/>
      <c r="M570" s="1793">
        <f>'Part IV-A-Uses of Funds'!M125</f>
        <v>0</v>
      </c>
      <c r="N570" s="1793"/>
      <c r="O570" s="1778"/>
      <c r="P570" s="1793">
        <f>'Part IV-A-Uses of Funds'!P125</f>
        <v>0</v>
      </c>
      <c r="Q570" s="1793"/>
      <c r="R570" s="1778"/>
      <c r="S570" s="1793">
        <f>'Part IV-A-Uses of Funds'!S125</f>
        <v>0</v>
      </c>
      <c r="T570" s="1793"/>
      <c r="U570" s="1781" t="str">
        <f>IF(AND(G570&gt;0,OR(C570="",C570="&lt;Enter detailed description here; use Comments section if needed&gt;")),"NO DESCRIPTION PROVIDED - please enter detailed description in Other box at left; use Comments section below if needed.","")</f>
        <v/>
      </c>
      <c r="V570" s="1883">
        <f>'Part IV-A-Uses of Funds'!V125</f>
        <v>0</v>
      </c>
      <c r="W570" s="1202">
        <f>'Part IV-A-Uses of Funds'!W125</f>
        <v>0</v>
      </c>
      <c r="X570" s="1202"/>
    </row>
    <row r="571" spans="1:24" ht="13.8">
      <c r="A571" s="1778"/>
      <c r="B571" s="1910"/>
      <c r="C571" s="1778"/>
      <c r="D571" s="1778"/>
      <c r="E571" s="1778"/>
      <c r="F571" s="1885" t="s">
        <v>189</v>
      </c>
      <c r="G571" s="1793">
        <f>SUM(G565:H570)</f>
        <v>712402</v>
      </c>
      <c r="H571" s="1793"/>
      <c r="I571" s="1778"/>
      <c r="J571" s="1793">
        <f>SUM(J569:K570)</f>
        <v>0</v>
      </c>
      <c r="K571" s="1793"/>
      <c r="L571" s="1807"/>
      <c r="M571" s="1793">
        <f>SUM(M569:N570)</f>
        <v>0</v>
      </c>
      <c r="N571" s="1793"/>
      <c r="O571" s="1778"/>
      <c r="P571" s="1793">
        <f>SUM(P569:Q570)</f>
        <v>0</v>
      </c>
      <c r="Q571" s="1793"/>
      <c r="R571" s="1778"/>
      <c r="S571" s="1793">
        <f>SUM(S565:T570)</f>
        <v>712402</v>
      </c>
      <c r="T571" s="1793"/>
      <c r="U571" s="1778"/>
      <c r="V571" s="1883">
        <f>SUM(V565:V570)</f>
        <v>0</v>
      </c>
      <c r="W571" s="1202">
        <f>'Part IV-A-Uses of Funds'!W126</f>
        <v>0</v>
      </c>
      <c r="X571" s="1202"/>
    </row>
    <row r="572" spans="1:24" ht="13.8">
      <c r="A572" s="1778"/>
      <c r="B572" s="1778" t="s">
        <v>600</v>
      </c>
      <c r="C572" s="1781"/>
      <c r="D572" s="1778"/>
      <c r="E572" s="1778"/>
      <c r="F572" s="1778"/>
      <c r="G572" s="1778"/>
      <c r="H572" s="1918"/>
      <c r="I572" s="1918"/>
      <c r="J572" s="1793"/>
      <c r="K572" s="1793"/>
      <c r="L572" s="1778"/>
      <c r="M572" s="1793"/>
      <c r="N572" s="1793"/>
      <c r="O572" s="1807" t="str">
        <f>B572</f>
        <v>OTHER COSTS</v>
      </c>
      <c r="P572" s="1793"/>
      <c r="Q572" s="1793"/>
      <c r="R572" s="1778"/>
      <c r="S572" s="1793"/>
      <c r="T572" s="1793"/>
      <c r="U572" s="1778"/>
      <c r="V572" s="1883"/>
      <c r="W572" s="1778" t="str">
        <f>B572</f>
        <v>OTHER COSTS</v>
      </c>
      <c r="X572" s="1778"/>
    </row>
    <row r="573" spans="1:24" ht="13.8">
      <c r="A573" s="1778"/>
      <c r="B573" s="1778" t="s">
        <v>601</v>
      </c>
      <c r="C573" s="1781"/>
      <c r="D573" s="1778"/>
      <c r="E573" s="1778"/>
      <c r="F573" s="1778"/>
      <c r="G573" s="1793">
        <f>'Part IV-A-Uses of Funds'!G128</f>
        <v>0</v>
      </c>
      <c r="H573" s="1793"/>
      <c r="I573" s="1778"/>
      <c r="J573" s="1793">
        <f>'Part IV-A-Uses of Funds'!J128</f>
        <v>0</v>
      </c>
      <c r="K573" s="1793"/>
      <c r="L573" s="1807"/>
      <c r="M573" s="1793">
        <f>'Part IV-A-Uses of Funds'!M128</f>
        <v>0</v>
      </c>
      <c r="N573" s="1793"/>
      <c r="O573" s="1778"/>
      <c r="P573" s="1793">
        <f>'Part IV-A-Uses of Funds'!P128</f>
        <v>0</v>
      </c>
      <c r="Q573" s="1793"/>
      <c r="R573" s="1778"/>
      <c r="S573" s="1793">
        <f>'Part IV-A-Uses of Funds'!S128</f>
        <v>0</v>
      </c>
      <c r="T573" s="1793"/>
      <c r="U573" s="1778"/>
      <c r="V573" s="1883">
        <f>'Part IV-A-Uses of Funds'!V128</f>
        <v>0</v>
      </c>
      <c r="W573" s="1202">
        <f>'Part IV-A-Uses of Funds'!W128</f>
        <v>0</v>
      </c>
      <c r="X573" s="1202"/>
    </row>
    <row r="574" spans="1:24" ht="16.5" customHeight="1">
      <c r="A574" s="1884" t="str">
        <f>IF(AND(G574&gt;0,OR(C574="",C574="&lt;Enter detailed description here; use Comments section if needed&gt;")),"X","")</f>
        <v/>
      </c>
      <c r="B574" s="1778" t="s">
        <v>730</v>
      </c>
      <c r="C574" s="1795" t="str">
        <f>'Part IV-A-Uses of Funds'!C129</f>
        <v>&lt;&lt; Enter description here; provide detail &amp; justification in tab Part IV-b &gt;&gt;</v>
      </c>
      <c r="D574" s="1795"/>
      <c r="E574" s="1795"/>
      <c r="F574" s="1795"/>
      <c r="G574" s="1793">
        <f>'Part IV-A-Uses of Funds'!G129</f>
        <v>0</v>
      </c>
      <c r="H574" s="1793"/>
      <c r="I574" s="1778"/>
      <c r="J574" s="1793">
        <f>'Part IV-A-Uses of Funds'!J129</f>
        <v>0</v>
      </c>
      <c r="K574" s="1793"/>
      <c r="L574" s="1807"/>
      <c r="M574" s="1793">
        <f>'Part IV-A-Uses of Funds'!M129</f>
        <v>0</v>
      </c>
      <c r="N574" s="1793"/>
      <c r="O574" s="1778"/>
      <c r="P574" s="1793">
        <f>'Part IV-A-Uses of Funds'!P129</f>
        <v>0</v>
      </c>
      <c r="Q574" s="1793"/>
      <c r="R574" s="1778"/>
      <c r="S574" s="1793">
        <f>'Part IV-A-Uses of Funds'!S129</f>
        <v>0</v>
      </c>
      <c r="T574" s="1793"/>
      <c r="U574" s="1781" t="str">
        <f>IF(AND(G574&gt;0,OR(C574="",C574="&lt;Enter detailed description here; use Comments section if needed&gt;")),"NO DESCRIPTION PROVIDED - please enter detailed description in Other box at left; use Comments section below if needed.","")</f>
        <v/>
      </c>
      <c r="V574" s="1883">
        <f>'Part IV-A-Uses of Funds'!V129</f>
        <v>0</v>
      </c>
      <c r="W574" s="1202">
        <f>'Part IV-A-Uses of Funds'!W129</f>
        <v>0</v>
      </c>
      <c r="X574" s="1202"/>
    </row>
    <row r="575" spans="1:24" ht="13.8">
      <c r="A575" s="1778"/>
      <c r="B575" s="1778"/>
      <c r="C575" s="1781"/>
      <c r="D575" s="1778"/>
      <c r="E575" s="1778"/>
      <c r="F575" s="1885" t="s">
        <v>189</v>
      </c>
      <c r="G575" s="1793">
        <f>SUM(G573:H574)</f>
        <v>0</v>
      </c>
      <c r="H575" s="1793"/>
      <c r="I575" s="1778"/>
      <c r="J575" s="1793">
        <f>SUM(J573:K574)</f>
        <v>0</v>
      </c>
      <c r="K575" s="1793"/>
      <c r="L575" s="1807"/>
      <c r="M575" s="1793">
        <f>SUM(M573:N574)</f>
        <v>0</v>
      </c>
      <c r="N575" s="1793"/>
      <c r="O575" s="1778"/>
      <c r="P575" s="1793">
        <f>SUM(P573:Q574)</f>
        <v>0</v>
      </c>
      <c r="Q575" s="1793"/>
      <c r="R575" s="1778"/>
      <c r="S575" s="1793">
        <f>SUM(S573:T574)</f>
        <v>0</v>
      </c>
      <c r="T575" s="1793"/>
      <c r="U575" s="1778"/>
      <c r="V575" s="1883">
        <f>SUM(V573:V574)</f>
        <v>0</v>
      </c>
      <c r="W575" s="1202">
        <f>'Part IV-A-Uses of Funds'!W130</f>
        <v>0</v>
      </c>
      <c r="X575" s="1202"/>
    </row>
    <row r="576" spans="1:24" ht="13.8">
      <c r="A576" s="1778"/>
      <c r="B576" s="1778"/>
      <c r="C576" s="1781"/>
      <c r="D576" s="1778"/>
      <c r="E576" s="1778"/>
      <c r="F576" s="1778"/>
      <c r="G576" s="1778"/>
      <c r="H576" s="1918"/>
      <c r="I576" s="1918"/>
      <c r="J576" s="1778"/>
      <c r="K576" s="1778"/>
      <c r="L576" s="1778"/>
      <c r="M576" s="1778"/>
      <c r="N576" s="1778"/>
      <c r="O576" s="1778"/>
      <c r="P576" s="1778"/>
      <c r="Q576" s="1778"/>
      <c r="R576" s="1778"/>
      <c r="S576" s="1778"/>
      <c r="T576" s="1778"/>
      <c r="U576" s="1778"/>
      <c r="V576" s="1883"/>
      <c r="W576" s="1883"/>
      <c r="X576" s="1883"/>
    </row>
    <row r="577" spans="1:24" ht="13.8">
      <c r="A577" s="1778"/>
      <c r="B577" s="1781" t="s">
        <v>5038</v>
      </c>
      <c r="C577" s="1778"/>
      <c r="D577" s="1778"/>
      <c r="E577" s="1778"/>
      <c r="F577" s="1778"/>
      <c r="G577" s="1793">
        <f>G462+G468+G472+G478+G483+G486+G492+G509+G522+G528+G536+G550+G556+G563+G571+G575</f>
        <v>15872847</v>
      </c>
      <c r="H577" s="1793"/>
      <c r="I577" s="1778"/>
      <c r="J577" s="1793">
        <f>J462+J468+J472+J478+J483+J486+J492+J509+J522+J528+J536+J550+J556+J563+J571+J575</f>
        <v>13641585</v>
      </c>
      <c r="K577" s="1793"/>
      <c r="L577" s="1778"/>
      <c r="M577" s="1793">
        <f>M462+M468+M472+M478+M483+M486+M492+M509+M522+M528+M536+M550+M556+M563+M571+M575</f>
        <v>0</v>
      </c>
      <c r="N577" s="1793"/>
      <c r="O577" s="1778"/>
      <c r="P577" s="1793">
        <f>P462+P468+P472+P478+P483+P486+P492+P509+P522+P528+P536+P550+P556+P563+P571+P575</f>
        <v>0</v>
      </c>
      <c r="Q577" s="1793"/>
      <c r="R577" s="1778"/>
      <c r="S577" s="1793">
        <f>S462+S468+S472+S478+S483+S486+S492+S509+S522+S528+S536+S550+S556+S563+S571+S575</f>
        <v>2193262</v>
      </c>
      <c r="T577" s="1793"/>
      <c r="U577" s="1778"/>
      <c r="V577" s="1883">
        <f>V462+V468+V472+V478+V483+V486+V492+V509+V522+V528+V536+V550+V556+V563+V571+V575</f>
        <v>0</v>
      </c>
      <c r="W577" s="1202">
        <f>'Part IV-A-Uses of Funds'!W132</f>
        <v>0</v>
      </c>
      <c r="X577" s="1202"/>
    </row>
    <row r="578" spans="1:24" ht="13.8">
      <c r="A578" s="1778"/>
      <c r="B578" s="1778"/>
      <c r="C578" s="1781"/>
      <c r="D578" s="1778"/>
      <c r="E578" s="1778"/>
      <c r="F578" s="1778"/>
      <c r="G578" s="1778"/>
      <c r="H578" s="1918"/>
      <c r="I578" s="1918"/>
      <c r="J578" s="1778"/>
      <c r="K578" s="1778"/>
      <c r="L578" s="1778"/>
      <c r="M578" s="1778"/>
      <c r="N578" s="1778"/>
      <c r="O578" s="1778"/>
      <c r="P578" s="1778"/>
      <c r="Q578" s="1778"/>
      <c r="R578" s="1778"/>
      <c r="S578" s="1778"/>
      <c r="T578" s="1778"/>
      <c r="U578" s="1778"/>
      <c r="V578" s="1883"/>
      <c r="W578" s="1778"/>
      <c r="X578" s="1778"/>
    </row>
    <row r="579" spans="1:24" ht="13.8">
      <c r="A579" s="1778"/>
      <c r="B579" s="1919" t="s">
        <v>4766</v>
      </c>
      <c r="C579" s="1896"/>
      <c r="D579" s="1920">
        <f>IF('Part VI-Revenues &amp; Expenses'!$O$67=0,0,G577/'Part VI-Revenues &amp; Expenses'!$O$67)</f>
        <v>188962.46428571429</v>
      </c>
      <c r="E579" s="1920"/>
      <c r="F579" s="1910" t="s">
        <v>2718</v>
      </c>
      <c r="G579" s="1920">
        <f>IF('Part I-Project Information'!$P$75=0,0,G577/'Part I-Project Information'!$P$75)</f>
        <v>204.49429270806493</v>
      </c>
      <c r="H579" s="1920"/>
      <c r="I579" s="1921"/>
      <c r="J579" s="1778"/>
      <c r="K579" s="1778"/>
      <c r="L579" s="1778"/>
      <c r="M579" s="1778"/>
      <c r="N579" s="1778"/>
      <c r="O579" s="1778"/>
      <c r="P579" s="1778"/>
      <c r="Q579" s="1778"/>
      <c r="R579" s="1778"/>
      <c r="S579" s="1778"/>
      <c r="T579" s="1778"/>
      <c r="U579" s="1778"/>
      <c r="V579" s="1883"/>
      <c r="W579" s="1778"/>
      <c r="X579" s="1778"/>
    </row>
    <row r="580" spans="1:24" ht="13.8">
      <c r="A580" s="1778"/>
      <c r="B580" s="1778"/>
      <c r="C580" s="1778"/>
      <c r="D580" s="1778"/>
      <c r="E580" s="1778"/>
      <c r="F580" s="1778"/>
      <c r="G580" s="1778"/>
      <c r="H580" s="1778"/>
      <c r="I580" s="1921"/>
      <c r="J580" s="1778"/>
      <c r="K580" s="1778"/>
      <c r="L580" s="1921"/>
      <c r="M580" s="1778"/>
      <c r="N580" s="1778"/>
      <c r="O580" s="1778"/>
      <c r="P580" s="1778"/>
      <c r="Q580" s="1778"/>
      <c r="R580" s="1778"/>
      <c r="S580" s="1778"/>
      <c r="T580" s="1778"/>
      <c r="U580" s="1778"/>
      <c r="V580" s="1883"/>
      <c r="W580" s="1778"/>
      <c r="X580" s="1778"/>
    </row>
    <row r="581" spans="1:24" ht="13.8">
      <c r="A581" s="1778"/>
      <c r="B581" s="1778"/>
      <c r="C581" s="1778"/>
      <c r="D581" s="1781"/>
      <c r="E581" s="1781"/>
      <c r="F581" s="1778"/>
      <c r="G581" s="1778"/>
      <c r="H581" s="1778"/>
      <c r="I581" s="1918"/>
      <c r="J581" s="1918"/>
      <c r="K581" s="1922"/>
      <c r="L581" s="1781"/>
      <c r="M581" s="1778"/>
      <c r="N581" s="1778"/>
      <c r="O581" s="1778"/>
      <c r="P581" s="1778"/>
      <c r="Q581" s="1778"/>
      <c r="R581" s="1778"/>
      <c r="S581" s="1778"/>
      <c r="T581" s="1778"/>
      <c r="U581" s="1778"/>
      <c r="V581" s="1883"/>
      <c r="W581" s="1778"/>
      <c r="X581" s="1778"/>
    </row>
    <row r="582" spans="1:24" ht="16.5" customHeight="1">
      <c r="A582" s="1879" t="s">
        <v>729</v>
      </c>
      <c r="B582" s="1923" t="s">
        <v>1410</v>
      </c>
      <c r="C582" s="1779"/>
      <c r="D582" s="1807"/>
      <c r="E582" s="1807"/>
      <c r="F582" s="1807"/>
      <c r="G582" s="1778"/>
      <c r="H582" s="1778"/>
      <c r="I582" s="1924"/>
      <c r="J582" s="1780" t="s">
        <v>268</v>
      </c>
      <c r="K582" s="1780"/>
      <c r="L582" s="1778"/>
      <c r="M582" s="1780" t="s">
        <v>98</v>
      </c>
      <c r="N582" s="1780"/>
      <c r="O582" s="1778"/>
      <c r="P582" s="1780" t="s">
        <v>269</v>
      </c>
      <c r="Q582" s="1780"/>
      <c r="R582" s="1778"/>
      <c r="S582" s="1778"/>
      <c r="T582" s="1778"/>
      <c r="U582" s="1778"/>
      <c r="V582" s="1883"/>
      <c r="W582" s="1882" t="str">
        <f>B582</f>
        <v>TAX CREDIT CALCULATION - BASIS METHOD</v>
      </c>
      <c r="X582" s="1778"/>
    </row>
    <row r="583" spans="1:24" ht="13.8">
      <c r="A583" s="1778"/>
      <c r="B583" s="1781" t="s">
        <v>2018</v>
      </c>
      <c r="C583" s="1778"/>
      <c r="D583" s="1807"/>
      <c r="E583" s="1807"/>
      <c r="F583" s="1778"/>
      <c r="G583" s="1778"/>
      <c r="H583" s="1778"/>
      <c r="I583" s="1924"/>
      <c r="J583" s="1780"/>
      <c r="K583" s="1780"/>
      <c r="L583" s="1779"/>
      <c r="M583" s="1780"/>
      <c r="N583" s="1780"/>
      <c r="O583" s="1778"/>
      <c r="P583" s="1780"/>
      <c r="Q583" s="1780"/>
      <c r="R583" s="1778"/>
      <c r="S583" s="1778"/>
      <c r="T583" s="1778"/>
      <c r="U583" s="1778"/>
      <c r="V583" s="1883"/>
      <c r="W583" s="1778" t="str">
        <f>B583</f>
        <v>Subtractions From Eligible Basis</v>
      </c>
      <c r="X583" s="1792"/>
    </row>
    <row r="584" spans="1:24" ht="13.8">
      <c r="A584" s="1778"/>
      <c r="B584" s="1778"/>
      <c r="C584" s="1778"/>
      <c r="D584" s="1781"/>
      <c r="E584" s="1781"/>
      <c r="F584" s="1778"/>
      <c r="G584" s="1778"/>
      <c r="H584" s="1778"/>
      <c r="I584" s="1918"/>
      <c r="J584" s="1918"/>
      <c r="K584" s="1922"/>
      <c r="L584" s="1781"/>
      <c r="M584" s="1778"/>
      <c r="N584" s="1778"/>
      <c r="O584" s="1778"/>
      <c r="P584" s="1778"/>
      <c r="Q584" s="1778"/>
      <c r="R584" s="1778"/>
      <c r="S584" s="1778"/>
      <c r="T584" s="1778"/>
      <c r="U584" s="1778"/>
      <c r="V584" s="1883"/>
      <c r="W584" s="1778"/>
      <c r="X584" s="1778"/>
    </row>
    <row r="585" spans="1:24" ht="13.8">
      <c r="A585" s="1778"/>
      <c r="B585" s="1781" t="s">
        <v>142</v>
      </c>
      <c r="C585" s="1778"/>
      <c r="D585" s="1778"/>
      <c r="E585" s="1778"/>
      <c r="F585" s="1778"/>
      <c r="G585" s="1778"/>
      <c r="H585" s="1778"/>
      <c r="I585" s="1924"/>
      <c r="J585" s="1793">
        <f>'Part IV-A-Uses of Funds'!J140</f>
        <v>0</v>
      </c>
      <c r="K585" s="1793"/>
      <c r="L585" s="1778"/>
      <c r="M585" s="1778"/>
      <c r="N585" s="1778"/>
      <c r="O585" s="1778"/>
      <c r="P585" s="1793">
        <f>'Part IV-A-Uses of Funds'!P140</f>
        <v>0</v>
      </c>
      <c r="Q585" s="1793"/>
      <c r="R585" s="1778"/>
      <c r="S585" s="1778"/>
      <c r="T585" s="1778"/>
      <c r="U585" s="1778"/>
      <c r="V585" s="1883">
        <f>'Part IV-A-Uses of Funds'!V140</f>
        <v>0</v>
      </c>
      <c r="W585" s="1202">
        <f>'Part IV-A-Uses of Funds'!W140</f>
        <v>0</v>
      </c>
      <c r="X585" s="1202"/>
    </row>
    <row r="586" spans="1:24" ht="13.8">
      <c r="A586" s="1778"/>
      <c r="B586" s="1778" t="s">
        <v>2125</v>
      </c>
      <c r="C586" s="1778"/>
      <c r="D586" s="1778"/>
      <c r="E586" s="1778"/>
      <c r="F586" s="1778"/>
      <c r="G586" s="1778"/>
      <c r="H586" s="1778"/>
      <c r="I586" s="1924"/>
      <c r="J586" s="1793">
        <f>'Part IV-A-Uses of Funds'!J141</f>
        <v>0</v>
      </c>
      <c r="K586" s="1793"/>
      <c r="L586" s="1778"/>
      <c r="M586" s="1778"/>
      <c r="N586" s="1778"/>
      <c r="O586" s="1778"/>
      <c r="P586" s="1793">
        <f>'Part IV-A-Uses of Funds'!P141</f>
        <v>0</v>
      </c>
      <c r="Q586" s="1793"/>
      <c r="R586" s="1778"/>
      <c r="S586" s="1778"/>
      <c r="T586" s="1778"/>
      <c r="U586" s="1778"/>
      <c r="V586" s="1883">
        <f>'Part IV-A-Uses of Funds'!V141</f>
        <v>0</v>
      </c>
      <c r="W586" s="1202">
        <f>'Part IV-A-Uses of Funds'!W141</f>
        <v>0</v>
      </c>
      <c r="X586" s="1202"/>
    </row>
    <row r="587" spans="1:24" ht="13.8">
      <c r="A587" s="1778"/>
      <c r="B587" s="1778" t="s">
        <v>1838</v>
      </c>
      <c r="C587" s="1778"/>
      <c r="D587" s="1778"/>
      <c r="E587" s="1778"/>
      <c r="F587" s="1778"/>
      <c r="G587" s="1778"/>
      <c r="H587" s="1778"/>
      <c r="I587" s="1924"/>
      <c r="J587" s="1793">
        <f>'Part IV-A-Uses of Funds'!J142</f>
        <v>0</v>
      </c>
      <c r="K587" s="1793"/>
      <c r="L587" s="1778"/>
      <c r="M587" s="1778"/>
      <c r="N587" s="1778"/>
      <c r="O587" s="1778"/>
      <c r="P587" s="1793">
        <f>'Part IV-A-Uses of Funds'!P142</f>
        <v>0</v>
      </c>
      <c r="Q587" s="1793"/>
      <c r="R587" s="1778"/>
      <c r="S587" s="1778"/>
      <c r="T587" s="1778"/>
      <c r="U587" s="1778"/>
      <c r="V587" s="1883">
        <f>'Part IV-A-Uses of Funds'!V142</f>
        <v>0</v>
      </c>
      <c r="W587" s="1202">
        <f>'Part IV-A-Uses of Funds'!W142</f>
        <v>0</v>
      </c>
      <c r="X587" s="1202"/>
    </row>
    <row r="588" spans="1:24" ht="13.8">
      <c r="A588" s="1778"/>
      <c r="B588" s="1778" t="s">
        <v>1839</v>
      </c>
      <c r="C588" s="1778"/>
      <c r="D588" s="1778"/>
      <c r="E588" s="1778"/>
      <c r="F588" s="1778"/>
      <c r="G588" s="1778"/>
      <c r="H588" s="1778"/>
      <c r="I588" s="1924"/>
      <c r="J588" s="1793">
        <f>'Part IV-A-Uses of Funds'!J143</f>
        <v>0</v>
      </c>
      <c r="K588" s="1793"/>
      <c r="L588" s="1778"/>
      <c r="M588" s="1778"/>
      <c r="N588" s="1778"/>
      <c r="O588" s="1778"/>
      <c r="P588" s="1793">
        <f>'Part IV-A-Uses of Funds'!P143</f>
        <v>0</v>
      </c>
      <c r="Q588" s="1793"/>
      <c r="R588" s="1778"/>
      <c r="S588" s="1778"/>
      <c r="T588" s="1778"/>
      <c r="U588" s="1778"/>
      <c r="V588" s="1883">
        <f>'Part IV-A-Uses of Funds'!V143</f>
        <v>0</v>
      </c>
      <c r="W588" s="1202">
        <f>'Part IV-A-Uses of Funds'!W143</f>
        <v>0</v>
      </c>
      <c r="X588" s="1202"/>
    </row>
    <row r="589" spans="1:24" ht="13.8">
      <c r="A589" s="1778"/>
      <c r="B589" s="1778" t="s">
        <v>251</v>
      </c>
      <c r="C589" s="1778"/>
      <c r="D589" s="1778"/>
      <c r="E589" s="1778"/>
      <c r="F589" s="1778"/>
      <c r="G589" s="1778"/>
      <c r="H589" s="1778"/>
      <c r="I589" s="1924"/>
      <c r="J589" s="1793">
        <f>'Part IV-A-Uses of Funds'!J144</f>
        <v>0</v>
      </c>
      <c r="K589" s="1793"/>
      <c r="L589" s="1778"/>
      <c r="M589" s="1778"/>
      <c r="N589" s="1778"/>
      <c r="O589" s="1778"/>
      <c r="P589" s="1793">
        <f>'Part IV-A-Uses of Funds'!P144</f>
        <v>0</v>
      </c>
      <c r="Q589" s="1793"/>
      <c r="R589" s="1778"/>
      <c r="S589" s="1778"/>
      <c r="T589" s="1778"/>
      <c r="U589" s="1778"/>
      <c r="V589" s="1883">
        <f>'Part IV-A-Uses of Funds'!V144</f>
        <v>0</v>
      </c>
      <c r="W589" s="1202">
        <f>'Part IV-A-Uses of Funds'!W144</f>
        <v>0</v>
      </c>
      <c r="X589" s="1202"/>
    </row>
    <row r="590" spans="1:24" ht="13.5" customHeight="1">
      <c r="A590" s="1778"/>
      <c r="B590" s="1778" t="s">
        <v>1582</v>
      </c>
      <c r="C590" s="1780" t="str">
        <f>'Part IV-A-Uses of Funds'!C145</f>
        <v>&lt;Enter detailed description here; use Comments section if needed&gt;</v>
      </c>
      <c r="D590" s="1780"/>
      <c r="E590" s="1780"/>
      <c r="F590" s="1780"/>
      <c r="G590" s="1780"/>
      <c r="H590" s="1780"/>
      <c r="I590" s="1780"/>
      <c r="J590" s="1793">
        <f>'Part IV-A-Uses of Funds'!J145</f>
        <v>0</v>
      </c>
      <c r="K590" s="1793"/>
      <c r="L590" s="1778"/>
      <c r="M590" s="1778"/>
      <c r="N590" s="1778"/>
      <c r="O590" s="1778"/>
      <c r="P590" s="1793">
        <f>'Part IV-A-Uses of Funds'!P145</f>
        <v>0</v>
      </c>
      <c r="Q590" s="1793"/>
      <c r="R590" s="1778"/>
      <c r="S590" s="1778"/>
      <c r="T590" s="1778"/>
      <c r="U590" s="1778"/>
      <c r="V590" s="1883">
        <f>'Part IV-A-Uses of Funds'!V145</f>
        <v>0</v>
      </c>
      <c r="W590" s="1202">
        <f>'Part IV-A-Uses of Funds'!W145</f>
        <v>0</v>
      </c>
      <c r="X590" s="1202"/>
    </row>
    <row r="591" spans="1:24" ht="13.8">
      <c r="A591" s="1778"/>
      <c r="B591" s="1778" t="s">
        <v>1840</v>
      </c>
      <c r="C591" s="1806"/>
      <c r="D591" s="1778"/>
      <c r="E591" s="1778"/>
      <c r="F591" s="1778"/>
      <c r="G591" s="1778"/>
      <c r="H591" s="1778"/>
      <c r="I591" s="1778"/>
      <c r="J591" s="1812">
        <f>SUM(J585:K590)</f>
        <v>0</v>
      </c>
      <c r="K591" s="1812"/>
      <c r="L591" s="1778"/>
      <c r="M591" s="1778"/>
      <c r="N591" s="1778"/>
      <c r="O591" s="1778"/>
      <c r="P591" s="1812">
        <f>SUM(P585:Q590)</f>
        <v>0</v>
      </c>
      <c r="Q591" s="1812"/>
      <c r="R591" s="1778"/>
      <c r="S591" s="1778"/>
      <c r="T591" s="1778"/>
      <c r="U591" s="1778"/>
      <c r="V591" s="1883">
        <f>SUM(V585:V590)</f>
        <v>0</v>
      </c>
      <c r="W591" s="1202">
        <f>'Part IV-A-Uses of Funds'!W146</f>
        <v>0</v>
      </c>
      <c r="X591" s="1202"/>
    </row>
    <row r="592" spans="1:24" ht="13.8">
      <c r="A592" s="1778"/>
      <c r="B592" s="1778"/>
      <c r="C592" s="1778"/>
      <c r="D592" s="1778"/>
      <c r="E592" s="1778"/>
      <c r="F592" s="1778"/>
      <c r="G592" s="1778"/>
      <c r="H592" s="1778"/>
      <c r="I592" s="1778"/>
      <c r="J592" s="1778"/>
      <c r="K592" s="1778"/>
      <c r="L592" s="1778"/>
      <c r="M592" s="1778"/>
      <c r="N592" s="1778"/>
      <c r="O592" s="1778"/>
      <c r="P592" s="1778"/>
      <c r="Q592" s="1778"/>
      <c r="R592" s="1778"/>
      <c r="S592" s="1778"/>
      <c r="T592" s="1778"/>
      <c r="U592" s="1778"/>
      <c r="V592" s="1883"/>
      <c r="W592" s="1778"/>
      <c r="X592" s="1778"/>
    </row>
    <row r="593" spans="1:24" ht="13.8">
      <c r="A593" s="1778"/>
      <c r="B593" s="1778" t="s">
        <v>2311</v>
      </c>
      <c r="C593" s="1778"/>
      <c r="D593" s="1778"/>
      <c r="E593" s="1778"/>
      <c r="F593" s="1778"/>
      <c r="G593" s="1778"/>
      <c r="H593" s="1778"/>
      <c r="I593" s="1778"/>
      <c r="J593" s="1778"/>
      <c r="K593" s="1778"/>
      <c r="L593" s="1778"/>
      <c r="M593" s="1778"/>
      <c r="N593" s="1778"/>
      <c r="O593" s="1778"/>
      <c r="P593" s="1778"/>
      <c r="Q593" s="1778"/>
      <c r="R593" s="1778"/>
      <c r="S593" s="1778"/>
      <c r="T593" s="1778"/>
      <c r="U593" s="1778"/>
      <c r="V593" s="1883"/>
      <c r="W593" s="1778" t="str">
        <f>B593</f>
        <v>Eligible Basis Calculation</v>
      </c>
      <c r="X593" s="1778"/>
    </row>
    <row r="594" spans="1:24" ht="12.75" customHeight="1">
      <c r="A594" s="1778"/>
      <c r="B594" s="1778" t="s">
        <v>1768</v>
      </c>
      <c r="C594" s="1778"/>
      <c r="D594" s="1778"/>
      <c r="E594" s="1778"/>
      <c r="F594" s="1778"/>
      <c r="G594" s="1778"/>
      <c r="H594" s="1778"/>
      <c r="I594" s="1778"/>
      <c r="J594" s="1812">
        <f>J577</f>
        <v>13641585</v>
      </c>
      <c r="K594" s="1812"/>
      <c r="L594" s="1778"/>
      <c r="M594" s="1812">
        <f>M577</f>
        <v>0</v>
      </c>
      <c r="N594" s="1812"/>
      <c r="O594" s="1778"/>
      <c r="P594" s="1812">
        <f>P577</f>
        <v>0</v>
      </c>
      <c r="Q594" s="1812"/>
      <c r="R594" s="1925" t="s">
        <v>4397</v>
      </c>
      <c r="S594" s="1925"/>
      <c r="T594" s="1925"/>
      <c r="U594" s="1778"/>
      <c r="V594" s="1883">
        <f>'Part IV-A-Uses of Funds'!V149</f>
        <v>0</v>
      </c>
      <c r="W594" s="1202">
        <f>'Part IV-A-Uses of Funds'!W149</f>
        <v>0</v>
      </c>
      <c r="X594" s="1202"/>
    </row>
    <row r="595" spans="1:24" ht="13.8">
      <c r="A595" s="1778"/>
      <c r="B595" s="1778" t="s">
        <v>2192</v>
      </c>
      <c r="C595" s="1778"/>
      <c r="D595" s="1778"/>
      <c r="E595" s="1778"/>
      <c r="F595" s="1778"/>
      <c r="G595" s="1778"/>
      <c r="H595" s="1778"/>
      <c r="I595" s="1778"/>
      <c r="J595" s="1812">
        <f>J591</f>
        <v>0</v>
      </c>
      <c r="K595" s="1812"/>
      <c r="L595" s="1778"/>
      <c r="M595" s="1812"/>
      <c r="N595" s="1812"/>
      <c r="O595" s="1778"/>
      <c r="P595" s="1812">
        <f>P591</f>
        <v>0</v>
      </c>
      <c r="Q595" s="1812"/>
      <c r="R595" s="1925"/>
      <c r="S595" s="1925"/>
      <c r="T595" s="1925"/>
      <c r="U595" s="1925"/>
      <c r="V595" s="1883">
        <f>'Part IV-A-Uses of Funds'!V150</f>
        <v>0</v>
      </c>
      <c r="W595" s="1202">
        <f>'Part IV-A-Uses of Funds'!W150</f>
        <v>0</v>
      </c>
      <c r="X595" s="1202"/>
    </row>
    <row r="596" spans="1:24" ht="13.8">
      <c r="A596" s="1778"/>
      <c r="B596" s="1778" t="s">
        <v>2193</v>
      </c>
      <c r="C596" s="1778"/>
      <c r="D596" s="1778"/>
      <c r="E596" s="1778"/>
      <c r="F596" s="1778"/>
      <c r="G596" s="1778"/>
      <c r="H596" s="1778"/>
      <c r="I596" s="1778"/>
      <c r="J596" s="1812">
        <f>J594-J595</f>
        <v>13641585</v>
      </c>
      <c r="K596" s="1812"/>
      <c r="L596" s="1778"/>
      <c r="M596" s="1812">
        <f>M594</f>
        <v>0</v>
      </c>
      <c r="N596" s="1812"/>
      <c r="O596" s="1778"/>
      <c r="P596" s="1812">
        <f>P594-P595</f>
        <v>0</v>
      </c>
      <c r="Q596" s="1812"/>
      <c r="R596" s="1925"/>
      <c r="S596" s="1925"/>
      <c r="T596" s="1925"/>
      <c r="U596" s="1925"/>
      <c r="V596" s="1883">
        <f>'Part IV-A-Uses of Funds'!V151</f>
        <v>0</v>
      </c>
      <c r="W596" s="1202">
        <f>'Part IV-A-Uses of Funds'!W151</f>
        <v>0</v>
      </c>
      <c r="X596" s="1202"/>
    </row>
    <row r="597" spans="1:24" ht="13.8">
      <c r="A597" s="1778"/>
      <c r="B597" s="1778" t="s">
        <v>1467</v>
      </c>
      <c r="C597" s="1778"/>
      <c r="D597" s="1778"/>
      <c r="E597" s="1778"/>
      <c r="F597" s="1778"/>
      <c r="G597" s="1779" t="s">
        <v>1693</v>
      </c>
      <c r="H597" s="1778" t="str">
        <f>'Part IV-A-Uses of Funds'!H152</f>
        <v>DDA/QCT</v>
      </c>
      <c r="I597" s="1778"/>
      <c r="J597" s="1926">
        <f>'Part IV-A-Uses of Funds'!J152</f>
        <v>1.3</v>
      </c>
      <c r="K597" s="1926"/>
      <c r="L597" s="1778"/>
      <c r="M597" s="1926"/>
      <c r="N597" s="1926"/>
      <c r="O597" s="1778"/>
      <c r="P597" s="1926">
        <f>'Part IV-A-Uses of Funds'!P152</f>
        <v>0</v>
      </c>
      <c r="Q597" s="1926"/>
      <c r="R597" s="1925" t="str">
        <f>'Part IV-A-Uses of Funds'!R152</f>
        <v>&lt;&lt; Select &gt;&gt;</v>
      </c>
      <c r="S597" s="1925"/>
      <c r="T597" s="1925"/>
      <c r="U597" s="1780"/>
      <c r="V597" s="1883">
        <f>'Part IV-A-Uses of Funds'!V152</f>
        <v>0</v>
      </c>
      <c r="W597" s="1202">
        <f>'Part IV-A-Uses of Funds'!W152</f>
        <v>0</v>
      </c>
      <c r="X597" s="1202"/>
    </row>
    <row r="598" spans="1:24" ht="13.8">
      <c r="A598" s="1778"/>
      <c r="B598" s="1778" t="s">
        <v>2028</v>
      </c>
      <c r="C598" s="1778"/>
      <c r="D598" s="1778"/>
      <c r="E598" s="1778"/>
      <c r="F598" s="1778"/>
      <c r="G598" s="1778"/>
      <c r="H598" s="1778"/>
      <c r="I598" s="1778"/>
      <c r="J598" s="1812">
        <f>J596*J597</f>
        <v>17734060.5</v>
      </c>
      <c r="K598" s="1812"/>
      <c r="L598" s="1778"/>
      <c r="M598" s="1812">
        <f>+M596</f>
        <v>0</v>
      </c>
      <c r="N598" s="1812"/>
      <c r="O598" s="1778"/>
      <c r="P598" s="1812">
        <f>P596*P597</f>
        <v>0</v>
      </c>
      <c r="Q598" s="1812"/>
      <c r="R598" s="1925"/>
      <c r="S598" s="1925"/>
      <c r="T598" s="1925"/>
      <c r="U598" s="1780"/>
      <c r="V598" s="1883">
        <f>'Part IV-A-Uses of Funds'!V153</f>
        <v>0</v>
      </c>
      <c r="W598" s="1202">
        <f>'Part IV-A-Uses of Funds'!W153</f>
        <v>0</v>
      </c>
      <c r="X598" s="1202"/>
    </row>
    <row r="599" spans="1:24" ht="13.8">
      <c r="A599" s="1778"/>
      <c r="B599" s="1778" t="s">
        <v>2508</v>
      </c>
      <c r="C599" s="1778"/>
      <c r="D599" s="1778"/>
      <c r="E599" s="1778"/>
      <c r="F599" s="1778"/>
      <c r="G599" s="1778"/>
      <c r="H599" s="1778"/>
      <c r="I599" s="1778"/>
      <c r="J599" s="1926">
        <f>MIN('Part VI-Revenues &amp; Expenses'!$O$63/'Part VI-Revenues &amp; Expenses'!$O$65,'Part VI-Revenues &amp; Expenses'!$O$152/'Part VI-Revenues &amp; Expenses'!$O$154)</f>
        <v>0.84065934065934067</v>
      </c>
      <c r="K599" s="1926"/>
      <c r="L599" s="1778"/>
      <c r="M599" s="1926">
        <f>MIN('Part VI-Revenues &amp; Expenses'!$O$63/'Part VI-Revenues &amp; Expenses'!$O$65,'Part VI-Revenues &amp; Expenses'!$O$152/'Part VI-Revenues &amp; Expenses'!$O$154)</f>
        <v>0.84065934065934067</v>
      </c>
      <c r="N599" s="1926"/>
      <c r="O599" s="1778"/>
      <c r="P599" s="1926">
        <f>MIN('Part VI-Revenues &amp; Expenses'!$O$63/'Part VI-Revenues &amp; Expenses'!$O$65,'Part VI-Revenues &amp; Expenses'!$O$152/'Part VI-Revenues &amp; Expenses'!$O$154)</f>
        <v>0.84065934065934067</v>
      </c>
      <c r="Q599" s="1926"/>
      <c r="R599" s="1925"/>
      <c r="S599" s="1925"/>
      <c r="T599" s="1925"/>
      <c r="U599" s="1778"/>
      <c r="V599" s="1883">
        <f>'Part IV-A-Uses of Funds'!V154</f>
        <v>0</v>
      </c>
      <c r="W599" s="1202">
        <f>'Part IV-A-Uses of Funds'!W154</f>
        <v>0</v>
      </c>
      <c r="X599" s="1202"/>
    </row>
    <row r="600" spans="1:24" ht="13.8">
      <c r="A600" s="1778"/>
      <c r="B600" s="1778" t="s">
        <v>2019</v>
      </c>
      <c r="C600" s="1778"/>
      <c r="D600" s="1778"/>
      <c r="E600" s="1778"/>
      <c r="F600" s="1778"/>
      <c r="G600" s="1778"/>
      <c r="H600" s="1778"/>
      <c r="I600" s="1778"/>
      <c r="J600" s="1812">
        <f>J598*J599</f>
        <v>14908303.607142858</v>
      </c>
      <c r="K600" s="1812"/>
      <c r="L600" s="1778"/>
      <c r="M600" s="1812">
        <f>M598*M599</f>
        <v>0</v>
      </c>
      <c r="N600" s="1812"/>
      <c r="O600" s="1778"/>
      <c r="P600" s="1812">
        <f>P598*P599</f>
        <v>0</v>
      </c>
      <c r="Q600" s="1812"/>
      <c r="R600" s="1778"/>
      <c r="S600" s="1778"/>
      <c r="T600" s="1778"/>
      <c r="U600" s="1778"/>
      <c r="V600" s="1883">
        <f>'Part IV-A-Uses of Funds'!V155</f>
        <v>0</v>
      </c>
      <c r="W600" s="1202">
        <f>'Part IV-A-Uses of Funds'!W155</f>
        <v>0</v>
      </c>
      <c r="X600" s="1202"/>
    </row>
    <row r="601" spans="1:24" ht="13.8">
      <c r="A601" s="1778"/>
      <c r="B601" s="1778" t="s">
        <v>2020</v>
      </c>
      <c r="C601" s="1778"/>
      <c r="D601" s="1778"/>
      <c r="E601" s="1778"/>
      <c r="F601" s="1778"/>
      <c r="G601" s="1778"/>
      <c r="H601" s="1778"/>
      <c r="I601" s="1778"/>
      <c r="J601" s="1926">
        <f>'Part IV-A-Uses of Funds'!J156</f>
        <v>0.09</v>
      </c>
      <c r="K601" s="1926"/>
      <c r="L601" s="1778"/>
      <c r="M601" s="1926">
        <f>'Part IV-A-Uses of Funds'!M156</f>
        <v>0</v>
      </c>
      <c r="N601" s="1926"/>
      <c r="O601" s="1778"/>
      <c r="P601" s="1926">
        <f>'Part IV-A-Uses of Funds'!P156</f>
        <v>0</v>
      </c>
      <c r="Q601" s="1926"/>
      <c r="R601" s="1778"/>
      <c r="S601" s="1778"/>
      <c r="T601" s="1778"/>
      <c r="U601" s="1778"/>
      <c r="V601" s="1883">
        <f>'Part IV-A-Uses of Funds'!V156</f>
        <v>0</v>
      </c>
      <c r="W601" s="1202">
        <f>'Part IV-A-Uses of Funds'!W156</f>
        <v>0</v>
      </c>
      <c r="X601" s="1202"/>
    </row>
    <row r="602" spans="1:24" ht="13.8">
      <c r="A602" s="1778"/>
      <c r="B602" s="1778" t="s">
        <v>2509</v>
      </c>
      <c r="C602" s="1778"/>
      <c r="D602" s="1778"/>
      <c r="E602" s="1778"/>
      <c r="F602" s="1778"/>
      <c r="G602" s="1778"/>
      <c r="H602" s="1778"/>
      <c r="I602" s="1778"/>
      <c r="J602" s="1812">
        <f>J600*J601</f>
        <v>1341747.3246428573</v>
      </c>
      <c r="K602" s="1812"/>
      <c r="L602" s="1778"/>
      <c r="M602" s="1812">
        <f>M600*M601</f>
        <v>0</v>
      </c>
      <c r="N602" s="1812"/>
      <c r="O602" s="1778"/>
      <c r="P602" s="1812">
        <f>P600*P601</f>
        <v>0</v>
      </c>
      <c r="Q602" s="1812"/>
      <c r="R602" s="1778"/>
      <c r="S602" s="1778"/>
      <c r="T602" s="1778"/>
      <c r="U602" s="1778"/>
      <c r="V602" s="1883">
        <f>'Part IV-A-Uses of Funds'!V157</f>
        <v>0</v>
      </c>
      <c r="W602" s="1202">
        <f>'Part IV-A-Uses of Funds'!W157</f>
        <v>0</v>
      </c>
      <c r="X602" s="1202"/>
    </row>
    <row r="603" spans="1:24" ht="13.8">
      <c r="A603" s="1778"/>
      <c r="B603" s="1778" t="s">
        <v>1408</v>
      </c>
      <c r="C603" s="1778"/>
      <c r="D603" s="1778"/>
      <c r="E603" s="1778"/>
      <c r="F603" s="1778"/>
      <c r="G603" s="1778"/>
      <c r="H603" s="1778"/>
      <c r="I603" s="1778"/>
      <c r="J603" s="1812">
        <f>'Part IV-A-Uses of Funds'!J158</f>
        <v>1341747</v>
      </c>
      <c r="K603" s="1812"/>
      <c r="L603" s="1812"/>
      <c r="M603" s="1812"/>
      <c r="N603" s="1812"/>
      <c r="O603" s="1812"/>
      <c r="P603" s="1812"/>
      <c r="Q603" s="1812"/>
      <c r="R603" s="1778"/>
      <c r="S603" s="1778"/>
      <c r="T603" s="1778"/>
      <c r="U603" s="1778"/>
      <c r="V603" s="1883">
        <f>'Part IV-A-Uses of Funds'!V158</f>
        <v>0</v>
      </c>
      <c r="W603" s="1202">
        <f>'Part IV-A-Uses of Funds'!W158</f>
        <v>0</v>
      </c>
      <c r="X603" s="1202"/>
    </row>
    <row r="604" spans="1:24" ht="13.8">
      <c r="A604" s="1778"/>
      <c r="B604" s="1927"/>
      <c r="C604" s="1778"/>
      <c r="D604" s="1778"/>
      <c r="E604" s="1778"/>
      <c r="F604" s="1778"/>
      <c r="G604" s="1778"/>
      <c r="H604" s="1778"/>
      <c r="I604" s="1778"/>
      <c r="J604" s="1778"/>
      <c r="K604" s="1778"/>
      <c r="L604" s="1867"/>
      <c r="M604" s="1867"/>
      <c r="N604" s="1867"/>
      <c r="O604" s="1867"/>
      <c r="P604" s="1778"/>
      <c r="Q604" s="1778"/>
      <c r="R604" s="1778"/>
      <c r="S604" s="1778"/>
      <c r="T604" s="1778"/>
      <c r="U604" s="1778"/>
      <c r="V604" s="1883"/>
      <c r="W604" s="1778"/>
      <c r="X604" s="1778"/>
    </row>
    <row r="605" spans="1:24" ht="13.8">
      <c r="A605" s="1882" t="s">
        <v>731</v>
      </c>
      <c r="B605" s="1882" t="s">
        <v>1411</v>
      </c>
      <c r="C605" s="1778"/>
      <c r="D605" s="1778"/>
      <c r="E605" s="1778"/>
      <c r="F605" s="1778"/>
      <c r="G605" s="1778"/>
      <c r="H605" s="1918"/>
      <c r="I605" s="1918"/>
      <c r="J605" s="1778"/>
      <c r="K605" s="1778"/>
      <c r="L605" s="1778"/>
      <c r="M605" s="1928"/>
      <c r="N605" s="1778"/>
      <c r="O605" s="1778"/>
      <c r="P605" s="1778"/>
      <c r="Q605" s="1778"/>
      <c r="R605" s="1778"/>
      <c r="S605" s="1778"/>
      <c r="T605" s="1778"/>
      <c r="U605" s="1778"/>
      <c r="V605" s="1883"/>
      <c r="W605" s="1778"/>
      <c r="X605" s="1778"/>
    </row>
    <row r="606" spans="1:24" ht="13.8">
      <c r="A606" s="1778"/>
      <c r="B606" s="1778" t="s">
        <v>172</v>
      </c>
      <c r="C606" s="1778"/>
      <c r="D606" s="1778"/>
      <c r="E606" s="1778"/>
      <c r="F606" s="1778"/>
      <c r="G606" s="1778"/>
      <c r="H606" s="1790"/>
      <c r="I606" s="1778"/>
      <c r="J606" s="1778"/>
      <c r="K606" s="1778"/>
      <c r="L606" s="1778"/>
      <c r="M606" s="1928"/>
      <c r="N606" s="1778"/>
      <c r="O606" s="1778"/>
      <c r="P606" s="1778"/>
      <c r="Q606" s="1778"/>
      <c r="R606" s="1778"/>
      <c r="S606" s="1778"/>
      <c r="T606" s="1778"/>
      <c r="U606" s="1778"/>
      <c r="V606" s="1883"/>
      <c r="W606" s="1882" t="str">
        <f>B605</f>
        <v>TAX CREDIT CALCULATION - GAP METHOD</v>
      </c>
      <c r="X606" s="1778"/>
    </row>
    <row r="607" spans="1:24" ht="13.5" customHeight="1">
      <c r="A607" s="1778"/>
      <c r="B607" s="1782" t="s">
        <v>5039</v>
      </c>
      <c r="C607" s="1778"/>
      <c r="D607" s="1778"/>
      <c r="E607" s="1778"/>
      <c r="F607" s="1778"/>
      <c r="G607" s="1786" t="str">
        <f>IF(J608&gt;J607,"TDC exceeds QAP PUCL!","")</f>
        <v/>
      </c>
      <c r="H607" s="1786"/>
      <c r="I607" s="1786"/>
      <c r="J607" s="1863">
        <f>'Part VIII-Threshold Criteria'!$P$63</f>
        <v>15879750</v>
      </c>
      <c r="K607" s="1863"/>
      <c r="L607" s="1863"/>
      <c r="M607" s="1925" t="s">
        <v>2702</v>
      </c>
      <c r="N607" s="1925"/>
      <c r="O607" s="1925"/>
      <c r="P607" s="1925"/>
      <c r="Q607" s="1925"/>
      <c r="R607" s="1925"/>
      <c r="S607" s="1925" t="s">
        <v>3575</v>
      </c>
      <c r="T607" s="1925"/>
      <c r="U607" s="1778"/>
      <c r="V607" s="1883">
        <f>'Part IV-A-Uses of Funds'!V162</f>
        <v>0</v>
      </c>
      <c r="W607" s="1202">
        <f>'Part IV-A-Uses of Funds'!W162</f>
        <v>0</v>
      </c>
      <c r="X607" s="1202"/>
    </row>
    <row r="608" spans="1:24" ht="13.8">
      <c r="A608" s="1778"/>
      <c r="B608" s="1778" t="s">
        <v>5040</v>
      </c>
      <c r="C608" s="1778"/>
      <c r="D608" s="1778"/>
      <c r="E608" s="1778"/>
      <c r="F608" s="1778"/>
      <c r="G608" s="1778"/>
      <c r="H608" s="1778"/>
      <c r="I608" s="1778"/>
      <c r="J608" s="1812">
        <f>'Part IV-A-Uses of Funds'!J163</f>
        <v>15872847</v>
      </c>
      <c r="K608" s="1812"/>
      <c r="L608" s="1812"/>
      <c r="M608" s="1925"/>
      <c r="N608" s="1925"/>
      <c r="O608" s="1925"/>
      <c r="P608" s="1925"/>
      <c r="Q608" s="1925"/>
      <c r="R608" s="1925"/>
      <c r="S608" s="1925"/>
      <c r="T608" s="1925"/>
      <c r="U608" s="1778"/>
      <c r="V608" s="1883">
        <f>'Part IV-A-Uses of Funds'!V163</f>
        <v>0</v>
      </c>
      <c r="W608" s="1202">
        <f>'Part IV-A-Uses of Funds'!W163</f>
        <v>0</v>
      </c>
      <c r="X608" s="1202"/>
    </row>
    <row r="609" spans="1:24" ht="13.8">
      <c r="A609" s="1778"/>
      <c r="B609" s="1778" t="s">
        <v>260</v>
      </c>
      <c r="C609" s="1778"/>
      <c r="D609" s="1778"/>
      <c r="E609" s="1778"/>
      <c r="F609" s="1778"/>
      <c r="G609" s="1778"/>
      <c r="H609" s="1778"/>
      <c r="I609" s="1778"/>
      <c r="J609" s="1812">
        <f>'Part III-Sources of Funds'!$I$58-'Part III-Sources of Funds'!$I$42-'Part III-Sources of Funds'!$I$43-'Part III-Sources of Funds'!$I$49-'Part III-Sources of Funds'!$I$50</f>
        <v>3600000</v>
      </c>
      <c r="K609" s="1812"/>
      <c r="L609" s="1812"/>
      <c r="M609" s="1925"/>
      <c r="N609" s="1925"/>
      <c r="O609" s="1925"/>
      <c r="P609" s="1925"/>
      <c r="Q609" s="1925"/>
      <c r="R609" s="1925"/>
      <c r="S609" s="1925"/>
      <c r="T609" s="1925"/>
      <c r="U609" s="1778"/>
      <c r="V609" s="1883">
        <f>'Part IV-A-Uses of Funds'!V164</f>
        <v>0</v>
      </c>
      <c r="W609" s="1202">
        <f>'Part IV-A-Uses of Funds'!W164</f>
        <v>0</v>
      </c>
      <c r="X609" s="1202"/>
    </row>
    <row r="610" spans="1:24" ht="13.8">
      <c r="A610" s="1778"/>
      <c r="B610" s="1778" t="s">
        <v>2204</v>
      </c>
      <c r="C610" s="1778"/>
      <c r="D610" s="1778"/>
      <c r="E610" s="1778"/>
      <c r="F610" s="1778"/>
      <c r="G610" s="1778"/>
      <c r="H610" s="1778"/>
      <c r="I610" s="1778"/>
      <c r="J610" s="1812">
        <f>+J608-J609</f>
        <v>12272847</v>
      </c>
      <c r="K610" s="1812"/>
      <c r="L610" s="1812"/>
      <c r="M610" s="1790" t="s">
        <v>2703</v>
      </c>
      <c r="N610" s="1790"/>
      <c r="O610" s="1929">
        <f>'Part III-Sources of Funds'!$I$42</f>
        <v>0</v>
      </c>
      <c r="P610" s="1929"/>
      <c r="Q610" s="1929"/>
      <c r="R610" s="1929"/>
      <c r="S610" s="1808" t="s">
        <v>1643</v>
      </c>
      <c r="T610" s="1930" t="str">
        <f>'Part IV-A-Uses of Funds'!T165</f>
        <v>No</v>
      </c>
      <c r="U610" s="1778"/>
      <c r="V610" s="1883">
        <f>'Part IV-A-Uses of Funds'!V165</f>
        <v>0</v>
      </c>
      <c r="W610" s="1202">
        <f>'Part IV-A-Uses of Funds'!W165</f>
        <v>0</v>
      </c>
      <c r="X610" s="1202"/>
    </row>
    <row r="611" spans="1:24" ht="13.8">
      <c r="A611" s="1778"/>
      <c r="B611" s="1778" t="s">
        <v>1271</v>
      </c>
      <c r="C611" s="1778"/>
      <c r="D611" s="1778"/>
      <c r="E611" s="1778"/>
      <c r="F611" s="1778"/>
      <c r="G611" s="1778"/>
      <c r="H611" s="1778"/>
      <c r="I611" s="1778"/>
      <c r="J611" s="1778" t="str">
        <f>"/ 10"</f>
        <v>/ 10</v>
      </c>
      <c r="K611" s="1778"/>
      <c r="L611" s="1778"/>
      <c r="M611" s="1778"/>
      <c r="N611" s="1929"/>
      <c r="O611" s="1929"/>
      <c r="P611" s="1929"/>
      <c r="Q611" s="1929"/>
      <c r="R611" s="1929"/>
      <c r="S611" s="1778"/>
      <c r="T611" s="1778"/>
      <c r="U611" s="1778"/>
      <c r="V611" s="1883"/>
      <c r="W611" s="1202">
        <f>'Part IV-A-Uses of Funds'!W166</f>
        <v>0</v>
      </c>
      <c r="X611" s="1202"/>
    </row>
    <row r="612" spans="1:24" ht="13.8">
      <c r="A612" s="1778"/>
      <c r="B612" s="1778" t="s">
        <v>1272</v>
      </c>
      <c r="C612" s="1778"/>
      <c r="D612" s="1778"/>
      <c r="E612" s="1778"/>
      <c r="F612" s="1778"/>
      <c r="G612" s="1778"/>
      <c r="H612" s="1778"/>
      <c r="I612" s="1778"/>
      <c r="J612" s="1812">
        <f>J610/10</f>
        <v>1227284.7</v>
      </c>
      <c r="K612" s="1812"/>
      <c r="L612" s="1812"/>
      <c r="M612" s="1787"/>
      <c r="N612" s="1778" t="s">
        <v>1273</v>
      </c>
      <c r="O612" s="1778"/>
      <c r="P612" s="1778"/>
      <c r="Q612" s="1778" t="s">
        <v>1776</v>
      </c>
      <c r="R612" s="1778"/>
      <c r="S612" s="1778"/>
      <c r="T612" s="1778"/>
      <c r="U612" s="1778"/>
      <c r="V612" s="1883">
        <f>'Part IV-A-Uses of Funds'!V167</f>
        <v>0</v>
      </c>
      <c r="W612" s="1202">
        <f>'Part IV-A-Uses of Funds'!W167</f>
        <v>0</v>
      </c>
      <c r="X612" s="1202"/>
    </row>
    <row r="613" spans="1:24" ht="13.8">
      <c r="A613" s="1778"/>
      <c r="B613" s="1778" t="s">
        <v>4767</v>
      </c>
      <c r="C613" s="1778"/>
      <c r="D613" s="1778"/>
      <c r="E613" s="1778"/>
      <c r="F613" s="1778"/>
      <c r="G613" s="1778"/>
      <c r="H613" s="1778"/>
      <c r="I613" s="1778"/>
      <c r="J613" s="1931">
        <f>N613+Q613</f>
        <v>1.4300000000000002</v>
      </c>
      <c r="K613" s="1931"/>
      <c r="L613" s="1931"/>
      <c r="M613" s="1779" t="s">
        <v>1274</v>
      </c>
      <c r="N613" s="1932">
        <f>'Part IV-A-Uses of Funds'!N168</f>
        <v>0.88</v>
      </c>
      <c r="O613" s="1932"/>
      <c r="P613" s="1779" t="s">
        <v>602</v>
      </c>
      <c r="Q613" s="1932">
        <f>'Part IV-A-Uses of Funds'!Q168</f>
        <v>0.55000000000000004</v>
      </c>
      <c r="R613" s="1932"/>
      <c r="S613" s="1778"/>
      <c r="T613" s="1778"/>
      <c r="U613" s="1778"/>
      <c r="V613" s="1883">
        <f>'Part IV-A-Uses of Funds'!V168</f>
        <v>0</v>
      </c>
      <c r="W613" s="1202">
        <f>'Part IV-A-Uses of Funds'!W168</f>
        <v>0</v>
      </c>
      <c r="X613" s="1202"/>
    </row>
    <row r="614" spans="1:24" ht="13.8">
      <c r="A614" s="1778"/>
      <c r="B614" s="1778" t="s">
        <v>1409</v>
      </c>
      <c r="C614" s="1778"/>
      <c r="D614" s="1778"/>
      <c r="E614" s="1778"/>
      <c r="F614" s="1778"/>
      <c r="G614" s="1778"/>
      <c r="H614" s="1778"/>
      <c r="I614" s="1778"/>
      <c r="J614" s="1812">
        <f>ROUNDDOWN(IF(J613=0,"",J612/J613),0)</f>
        <v>858241</v>
      </c>
      <c r="K614" s="1812"/>
      <c r="L614" s="1812"/>
      <c r="M614" s="1787"/>
      <c r="N614" s="1778"/>
      <c r="O614" s="1778"/>
      <c r="P614" s="1778"/>
      <c r="Q614" s="1778"/>
      <c r="R614" s="1778"/>
      <c r="S614" s="1778"/>
      <c r="T614" s="1778"/>
      <c r="U614" s="1778"/>
      <c r="V614" s="1883">
        <f>'Part IV-A-Uses of Funds'!V169</f>
        <v>0</v>
      </c>
      <c r="W614" s="1202">
        <f>'Part IV-A-Uses of Funds'!W169</f>
        <v>0</v>
      </c>
      <c r="X614" s="1202"/>
    </row>
    <row r="615" spans="1:24" ht="13.8">
      <c r="A615" s="1778"/>
      <c r="B615" s="1778"/>
      <c r="C615" s="1778"/>
      <c r="D615" s="1778"/>
      <c r="E615" s="1778"/>
      <c r="F615" s="1778"/>
      <c r="G615" s="1778"/>
      <c r="H615" s="1778"/>
      <c r="I615" s="1778"/>
      <c r="J615" s="1867"/>
      <c r="K615" s="1867"/>
      <c r="L615" s="1867"/>
      <c r="M615" s="1787"/>
      <c r="N615" s="1779"/>
      <c r="O615" s="1779"/>
      <c r="P615" s="1778"/>
      <c r="Q615" s="1778"/>
      <c r="R615" s="1778"/>
      <c r="S615" s="1778"/>
      <c r="T615" s="1778"/>
      <c r="U615" s="1778"/>
      <c r="V615" s="1883"/>
      <c r="W615" s="1202">
        <f>'Part IV-A-Uses of Funds'!W170</f>
        <v>0</v>
      </c>
      <c r="X615" s="1202"/>
    </row>
    <row r="616" spans="1:24" ht="13.8">
      <c r="A616" s="1778"/>
      <c r="B616" s="1778" t="s">
        <v>4768</v>
      </c>
      <c r="C616" s="1778"/>
      <c r="D616" s="1778"/>
      <c r="E616" s="1778"/>
      <c r="F616" s="1778"/>
      <c r="G616" s="1778"/>
      <c r="H616" s="1778"/>
      <c r="I616" s="1778"/>
      <c r="J616" s="181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858241</v>
      </c>
      <c r="K616" s="1812"/>
      <c r="L616" s="1812"/>
      <c r="M616" s="1787"/>
      <c r="N616" s="1779"/>
      <c r="O616" s="1779"/>
      <c r="P616" s="1778"/>
      <c r="Q616" s="1778"/>
      <c r="R616" s="1778"/>
      <c r="S616" s="1778"/>
      <c r="T616" s="1778"/>
      <c r="U616" s="1778"/>
      <c r="V616" s="1883">
        <f>'Part IV-A-Uses of Funds'!V171</f>
        <v>0</v>
      </c>
      <c r="W616" s="1202">
        <f>'Part IV-A-Uses of Funds'!W171</f>
        <v>0</v>
      </c>
      <c r="X616" s="1202"/>
    </row>
    <row r="617" spans="1:24" ht="13.8">
      <c r="A617" s="1778"/>
      <c r="B617" s="1778"/>
      <c r="C617" s="1778"/>
      <c r="D617" s="1778"/>
      <c r="E617" s="1778"/>
      <c r="F617" s="1778"/>
      <c r="G617" s="1778"/>
      <c r="H617" s="1778"/>
      <c r="I617" s="1778"/>
      <c r="J617" s="1867"/>
      <c r="K617" s="1867"/>
      <c r="L617" s="1867"/>
      <c r="M617" s="1787"/>
      <c r="N617" s="1779"/>
      <c r="O617" s="1779"/>
      <c r="P617" s="1778"/>
      <c r="Q617" s="1778"/>
      <c r="R617" s="1778"/>
      <c r="S617" s="1778"/>
      <c r="T617" s="1778"/>
      <c r="U617" s="1778"/>
      <c r="V617" s="1883"/>
      <c r="W617" s="1202">
        <f>'Part IV-A-Uses of Funds'!W172</f>
        <v>0</v>
      </c>
      <c r="X617" s="1202"/>
    </row>
    <row r="618" spans="1:24" ht="13.8">
      <c r="A618" s="1778"/>
      <c r="B618" s="1778" t="s">
        <v>4769</v>
      </c>
      <c r="C618" s="1778"/>
      <c r="D618" s="1778"/>
      <c r="E618" s="1778"/>
      <c r="F618" s="1778"/>
      <c r="G618" s="1778"/>
      <c r="H618" s="1778"/>
      <c r="I618" s="1778"/>
      <c r="J618" s="1812">
        <f>'Part IV-A-Uses of Funds'!J173</f>
        <v>858241</v>
      </c>
      <c r="K618" s="1812"/>
      <c r="L618" s="1812"/>
      <c r="M618" s="1781" t="str">
        <f>IF(J616=0,"",IF(J618&gt;J616,"ALLOCATION CANNOT EXCEED MAXIMUM - REVISE REQUEST (Try Round Down)!",""))</f>
        <v/>
      </c>
      <c r="N618" s="1779"/>
      <c r="O618" s="1779"/>
      <c r="P618" s="1778"/>
      <c r="Q618" s="1778"/>
      <c r="R618" s="1778"/>
      <c r="S618" s="1778"/>
      <c r="T618" s="1778"/>
      <c r="U618" s="1778"/>
      <c r="V618" s="1883">
        <f>'Part IV-A-Uses of Funds'!V173</f>
        <v>0</v>
      </c>
      <c r="W618" s="1202">
        <f>'Part IV-A-Uses of Funds'!W173</f>
        <v>0</v>
      </c>
      <c r="X618" s="1202"/>
    </row>
    <row r="619" spans="1:24" ht="13.8">
      <c r="A619" s="1778"/>
      <c r="B619" s="1778"/>
      <c r="C619" s="1778"/>
      <c r="D619" s="1778"/>
      <c r="E619" s="1778"/>
      <c r="F619" s="1778"/>
      <c r="G619" s="1778"/>
      <c r="H619" s="1778"/>
      <c r="I619" s="1778"/>
      <c r="J619" s="1867"/>
      <c r="K619" s="1867"/>
      <c r="L619" s="1867"/>
      <c r="M619" s="1787"/>
      <c r="N619" s="1779"/>
      <c r="O619" s="1779"/>
      <c r="P619" s="1778"/>
      <c r="Q619" s="1778"/>
      <c r="R619" s="1778"/>
      <c r="S619" s="1778"/>
      <c r="T619" s="1778"/>
      <c r="U619" s="1778"/>
      <c r="V619" s="1883"/>
      <c r="W619" s="1202">
        <f>'Part IV-A-Uses of Funds'!W174</f>
        <v>0</v>
      </c>
      <c r="X619" s="1202"/>
    </row>
    <row r="620" spans="1:24" ht="13.8">
      <c r="A620" s="1882" t="s">
        <v>1770</v>
      </c>
      <c r="B620" s="1882" t="s">
        <v>5041</v>
      </c>
      <c r="C620" s="1778"/>
      <c r="D620" s="1787"/>
      <c r="E620" s="1787"/>
      <c r="F620" s="1781"/>
      <c r="G620" s="1778"/>
      <c r="H620" s="1778"/>
      <c r="I620" s="1778"/>
      <c r="J620" s="1812">
        <f>IF(J618="",0,+MIN(J616,J618))</f>
        <v>858241</v>
      </c>
      <c r="K620" s="1812"/>
      <c r="L620" s="1812"/>
      <c r="M620" s="1778"/>
      <c r="N620" s="1792"/>
      <c r="O620" s="1792"/>
      <c r="P620" s="1792"/>
      <c r="Q620" s="1792"/>
      <c r="R620" s="1792"/>
      <c r="S620" s="1792"/>
      <c r="T620" s="1792"/>
      <c r="U620" s="1778"/>
      <c r="V620" s="1883">
        <f>'Part IV-A-Uses of Funds'!V175</f>
        <v>0</v>
      </c>
      <c r="W620" s="1202">
        <f>'Part IV-A-Uses of Funds'!W175</f>
        <v>0</v>
      </c>
      <c r="X620" s="1202"/>
    </row>
    <row r="621" spans="1:24" ht="13.8">
      <c r="A621" s="1787"/>
      <c r="B621" s="1787"/>
      <c r="C621" s="1787"/>
      <c r="D621" s="1787"/>
      <c r="E621" s="1787"/>
      <c r="F621" s="1787"/>
      <c r="G621" s="1787"/>
      <c r="H621" s="1787"/>
      <c r="I621" s="1787"/>
      <c r="J621" s="1787"/>
      <c r="K621" s="1787"/>
      <c r="L621" s="1787"/>
      <c r="M621" s="1787"/>
      <c r="N621" s="1787"/>
      <c r="O621" s="1787"/>
      <c r="P621" s="1787"/>
      <c r="Q621" s="1787"/>
      <c r="R621" s="1787"/>
      <c r="S621" s="1787"/>
      <c r="T621" s="1787"/>
      <c r="U621" s="1787"/>
      <c r="V621" s="1787"/>
      <c r="W621" s="1787"/>
      <c r="X621" s="1787"/>
    </row>
    <row r="622" spans="1:24" ht="13.8">
      <c r="A622" s="1787"/>
      <c r="B622" s="1787"/>
      <c r="C622" s="1787"/>
      <c r="D622" s="1787"/>
      <c r="E622" s="1787"/>
      <c r="F622" s="1787"/>
      <c r="G622" s="1787"/>
      <c r="H622" s="1787"/>
      <c r="I622" s="1787"/>
      <c r="J622" s="1787"/>
      <c r="K622" s="1787"/>
      <c r="L622" s="1787"/>
      <c r="M622" s="1787"/>
      <c r="N622" s="1787"/>
      <c r="O622" s="1787"/>
      <c r="P622" s="1787"/>
      <c r="Q622" s="1787"/>
      <c r="R622" s="1787"/>
      <c r="S622" s="1787"/>
      <c r="T622" s="1787"/>
      <c r="U622" s="1787"/>
      <c r="V622" s="1787"/>
      <c r="W622" s="1787"/>
      <c r="X622" s="1787"/>
    </row>
    <row r="623" spans="1:24" ht="13.8">
      <c r="A623" s="1778" t="s">
        <v>1772</v>
      </c>
      <c r="B623" s="1787" t="s">
        <v>562</v>
      </c>
      <c r="C623" s="1787"/>
      <c r="D623" s="1787"/>
      <c r="E623" s="1787"/>
      <c r="F623" s="1787"/>
      <c r="G623" s="1787"/>
      <c r="H623" s="1787"/>
      <c r="I623" s="1787"/>
      <c r="J623" s="1787"/>
      <c r="K623" s="1787"/>
      <c r="L623" s="1787"/>
      <c r="M623" s="1787"/>
      <c r="N623" s="1778" t="s">
        <v>522</v>
      </c>
      <c r="O623" s="1778" t="s">
        <v>77</v>
      </c>
      <c r="P623" s="1787"/>
      <c r="Q623" s="1787"/>
      <c r="R623" s="1787"/>
      <c r="S623" s="1787"/>
      <c r="T623" s="1787"/>
      <c r="U623" s="1787"/>
      <c r="V623" s="1787"/>
      <c r="W623" s="1787"/>
      <c r="X623" s="1787"/>
    </row>
    <row r="624" spans="1:24" ht="15.75" customHeight="1">
      <c r="A624" s="1844" t="str">
        <f>'Part IV-A-Uses of Funds'!A179</f>
        <v xml:space="preserve">The construction costs were determined based on guidance from our proposed General Contractor, Capstone Builders.  Construction Loan Interest was calculated based on the projected flow of funds.  Local government fees were confirmed by the local government.  Charts with the fee breakdown are provided by the of Atlanta that were utilized in estimating the costs.   </v>
      </c>
      <c r="B624" s="1844"/>
      <c r="C624" s="1844"/>
      <c r="D624" s="1844"/>
      <c r="E624" s="1844"/>
      <c r="F624" s="1844"/>
      <c r="G624" s="1844"/>
      <c r="H624" s="1844"/>
      <c r="I624" s="1844"/>
      <c r="J624" s="1844"/>
      <c r="K624" s="1844"/>
      <c r="L624" s="1844"/>
      <c r="M624" s="1844"/>
      <c r="N624" s="1844">
        <f>'Part IV-A-Uses of Funds'!N179</f>
        <v>0</v>
      </c>
      <c r="O624" s="1844"/>
      <c r="P624" s="1844"/>
      <c r="Q624" s="1844"/>
      <c r="R624" s="1844"/>
      <c r="S624" s="1844"/>
      <c r="T624" s="1844"/>
      <c r="U624" s="1787"/>
      <c r="V624" s="1777"/>
      <c r="W624" s="1878" t="s">
        <v>2655</v>
      </c>
      <c r="X624" s="1878"/>
    </row>
    <row r="628" spans="1:8" ht="15">
      <c r="A628" s="1933" t="str">
        <f>CONCATENATE("PART FOUR (b) -  OTHER COSTS","  -  ",'Part I-Project Information'!$O$6," - ",'Part I-Project Information'!$F$34,"  -  ",'Part I-Project Information'!$F$38,"  -  ",'Part I-Project Information'!$J$39,",  ","County")</f>
        <v>PART FOUR (b) -  OTHER COSTS  -  2019-063 - Haven at South Atlanta  -  Atlanta  -  Fulton,  County</v>
      </c>
      <c r="B628" s="1933"/>
      <c r="C628" s="1933"/>
      <c r="D628" s="1933"/>
      <c r="E628" s="1933"/>
      <c r="F628" s="1933"/>
      <c r="G628" s="1933"/>
      <c r="H628" s="1933"/>
    </row>
    <row r="629" spans="1:8">
      <c r="A629" s="1934"/>
      <c r="B629" s="1934"/>
      <c r="C629" s="1934"/>
      <c r="D629" s="1934"/>
      <c r="E629" s="1934"/>
      <c r="F629" s="1934"/>
      <c r="G629" s="1934"/>
      <c r="H629" s="1934"/>
    </row>
    <row r="630" spans="1:8" ht="14.25" customHeight="1">
      <c r="A630" s="1935" t="s">
        <v>3612</v>
      </c>
      <c r="B630" s="1935"/>
      <c r="C630" s="1935"/>
      <c r="D630" s="1935"/>
      <c r="E630" s="1935"/>
      <c r="F630" s="1935"/>
      <c r="G630" s="1935"/>
      <c r="H630" s="1935"/>
    </row>
    <row r="631" spans="1:8">
      <c r="A631" s="1934"/>
      <c r="B631" s="1934"/>
      <c r="C631" s="1934"/>
      <c r="D631" s="1934"/>
      <c r="E631" s="1934"/>
      <c r="F631" s="1934"/>
      <c r="G631" s="1934"/>
      <c r="H631" s="1934"/>
    </row>
    <row r="632" spans="1:8" ht="90" customHeight="1">
      <c r="A632" s="1936" t="s">
        <v>4770</v>
      </c>
      <c r="B632" s="1936"/>
      <c r="C632" s="1936"/>
      <c r="D632" s="1936"/>
      <c r="E632" s="1934"/>
      <c r="F632" s="1937" t="s">
        <v>3603</v>
      </c>
      <c r="G632" s="1938"/>
      <c r="H632" s="1937" t="s">
        <v>3604</v>
      </c>
    </row>
    <row r="633" spans="1:8">
      <c r="A633" s="1938"/>
      <c r="B633" s="1938"/>
      <c r="C633" s="1938"/>
      <c r="D633" s="1938"/>
      <c r="E633" s="1934"/>
      <c r="F633" s="1934"/>
      <c r="G633" s="1934"/>
      <c r="H633" s="1934"/>
    </row>
    <row r="634" spans="1:8">
      <c r="A634" s="1939"/>
      <c r="B634" s="1939"/>
      <c r="C634" s="1939"/>
      <c r="D634" s="1939"/>
      <c r="E634" s="1939"/>
      <c r="F634" s="1939"/>
      <c r="G634" s="1939"/>
      <c r="H634" s="1940"/>
    </row>
    <row r="635" spans="1:8">
      <c r="A635" s="1938" t="s">
        <v>100</v>
      </c>
      <c r="B635" s="1941"/>
      <c r="C635" s="1941"/>
      <c r="D635" s="1941"/>
      <c r="E635" s="1941"/>
      <c r="F635" s="1941"/>
      <c r="G635" s="1941"/>
      <c r="H635" s="1941"/>
    </row>
    <row r="636" spans="1:8" ht="13.5" customHeight="1">
      <c r="A636" s="1942" t="str">
        <f>'Part IV-A-Uses of Funds'!$C$14</f>
        <v>&lt;&lt; Enter description here; provide detail &amp; justification in tab Part IV-b &gt;&gt;</v>
      </c>
      <c r="B636" s="1942"/>
      <c r="C636" s="1942"/>
      <c r="D636" s="1942"/>
      <c r="E636" s="1940"/>
      <c r="F636" s="1943">
        <f>'Part IV-B-Other Items'!F9</f>
        <v>0</v>
      </c>
      <c r="G636" s="1941"/>
      <c r="H636" s="1943">
        <f>'Part IV-B-Other Items'!H9</f>
        <v>0</v>
      </c>
    </row>
    <row r="637" spans="1:8">
      <c r="A637" s="1942"/>
      <c r="B637" s="1942"/>
      <c r="C637" s="1942"/>
      <c r="D637" s="1942"/>
      <c r="E637" s="1940"/>
      <c r="F637" s="1943"/>
      <c r="G637" s="1941"/>
      <c r="H637" s="1943"/>
    </row>
    <row r="638" spans="1:8">
      <c r="A638" s="1940"/>
      <c r="B638" s="1940"/>
      <c r="C638" s="1940"/>
      <c r="D638" s="1940"/>
      <c r="E638" s="1940"/>
      <c r="F638" s="1943"/>
      <c r="G638" s="1941"/>
      <c r="H638" s="1943"/>
    </row>
    <row r="639" spans="1:8">
      <c r="A639" s="1944" t="s">
        <v>3606</v>
      </c>
      <c r="B639" s="1945">
        <f>'Part IV-A-Uses of Funds'!$G$14</f>
        <v>0</v>
      </c>
      <c r="C639" s="1944" t="s">
        <v>1768</v>
      </c>
      <c r="D639" s="1945">
        <f>'Part IV-A-Uses of Funds'!$J$14+'Part IV-A-Uses of Funds'!$M$14+'Part IV-A-Uses of Funds'!$P$14</f>
        <v>0</v>
      </c>
      <c r="E639" s="1940"/>
      <c r="F639" s="1943"/>
      <c r="G639" s="1941"/>
      <c r="H639" s="1943"/>
    </row>
    <row r="640" spans="1:8">
      <c r="A640" s="1941"/>
      <c r="B640" s="1946"/>
      <c r="C640" s="1941"/>
      <c r="D640" s="1941"/>
      <c r="E640" s="1940"/>
      <c r="F640" s="1943"/>
      <c r="G640" s="1947"/>
      <c r="H640" s="1943"/>
    </row>
    <row r="641" spans="1:8" ht="13.5" customHeight="1">
      <c r="A641" s="1942" t="str">
        <f>'Part IV-A-Uses of Funds'!$C$15</f>
        <v>&lt;&lt; Enter description here; provide detail &amp; justification in tab Part IV-b &gt;&gt;</v>
      </c>
      <c r="B641" s="1942"/>
      <c r="C641" s="1942"/>
      <c r="D641" s="1942"/>
      <c r="E641" s="1940"/>
      <c r="F641" s="1943">
        <f>'Part IV-B-Other Items'!F14</f>
        <v>0</v>
      </c>
      <c r="G641" s="1941"/>
      <c r="H641" s="1943">
        <f>'Part IV-B-Other Items'!H14</f>
        <v>0</v>
      </c>
    </row>
    <row r="642" spans="1:8">
      <c r="A642" s="1942"/>
      <c r="B642" s="1942"/>
      <c r="C642" s="1942"/>
      <c r="D642" s="1942"/>
      <c r="E642" s="1940"/>
      <c r="F642" s="1943"/>
      <c r="G642" s="1941"/>
      <c r="H642" s="1943"/>
    </row>
    <row r="643" spans="1:8">
      <c r="A643" s="1940"/>
      <c r="B643" s="1940"/>
      <c r="C643" s="1940"/>
      <c r="D643" s="1940"/>
      <c r="E643" s="1940"/>
      <c r="F643" s="1943"/>
      <c r="G643" s="1941"/>
      <c r="H643" s="1943"/>
    </row>
    <row r="644" spans="1:8">
      <c r="A644" s="1944" t="s">
        <v>3606</v>
      </c>
      <c r="B644" s="1945">
        <f>'Part IV-A-Uses of Funds'!$G$15</f>
        <v>0</v>
      </c>
      <c r="C644" s="1944" t="s">
        <v>1768</v>
      </c>
      <c r="D644" s="1945">
        <f>'Part IV-A-Uses of Funds'!$J$15+'Part IV-A-Uses of Funds'!$M$15+'Part IV-A-Uses of Funds'!$P$15</f>
        <v>0</v>
      </c>
      <c r="E644" s="1940"/>
      <c r="F644" s="1943"/>
      <c r="G644" s="1941"/>
      <c r="H644" s="1943"/>
    </row>
    <row r="645" spans="1:8">
      <c r="A645" s="1941"/>
      <c r="B645" s="1946"/>
      <c r="C645" s="1941"/>
      <c r="D645" s="1941"/>
      <c r="E645" s="1940"/>
      <c r="F645" s="1943"/>
      <c r="G645" s="1947"/>
      <c r="H645" s="1943"/>
    </row>
    <row r="646" spans="1:8" ht="13.5" customHeight="1">
      <c r="A646" s="1942" t="str">
        <f>'Part IV-A-Uses of Funds'!$C$16</f>
        <v>&lt;&lt; Enter description here; provide detail &amp; justification in tab Part IV-b &gt;&gt;</v>
      </c>
      <c r="B646" s="1942"/>
      <c r="C646" s="1942"/>
      <c r="D646" s="1942"/>
      <c r="E646" s="1940"/>
      <c r="F646" s="1943">
        <f>'Part IV-B-Other Items'!F19</f>
        <v>0</v>
      </c>
      <c r="G646" s="1941"/>
      <c r="H646" s="1943">
        <f>'Part IV-B-Other Items'!H19</f>
        <v>0</v>
      </c>
    </row>
    <row r="647" spans="1:8">
      <c r="A647" s="1942"/>
      <c r="B647" s="1942"/>
      <c r="C647" s="1942"/>
      <c r="D647" s="1942"/>
      <c r="E647" s="1940"/>
      <c r="F647" s="1943"/>
      <c r="G647" s="1941"/>
      <c r="H647" s="1943"/>
    </row>
    <row r="648" spans="1:8">
      <c r="A648" s="1940"/>
      <c r="B648" s="1940"/>
      <c r="C648" s="1940"/>
      <c r="D648" s="1940"/>
      <c r="E648" s="1940"/>
      <c r="F648" s="1943"/>
      <c r="G648" s="1941"/>
      <c r="H648" s="1943"/>
    </row>
    <row r="649" spans="1:8">
      <c r="A649" s="1944" t="s">
        <v>3606</v>
      </c>
      <c r="B649" s="1945">
        <f>'Part IV-A-Uses of Funds'!$G$16</f>
        <v>0</v>
      </c>
      <c r="C649" s="1944" t="s">
        <v>1768</v>
      </c>
      <c r="D649" s="1945">
        <f>'Part IV-A-Uses of Funds'!$J$16+'Part IV-A-Uses of Funds'!$M$16+'Part IV-A-Uses of Funds'!$P$16</f>
        <v>0</v>
      </c>
      <c r="E649" s="1940"/>
      <c r="F649" s="1943"/>
      <c r="G649" s="1941"/>
      <c r="H649" s="1943"/>
    </row>
    <row r="650" spans="1:8">
      <c r="A650" s="1941"/>
      <c r="B650" s="1946"/>
      <c r="C650" s="1941"/>
      <c r="D650" s="1941"/>
      <c r="E650" s="1940"/>
      <c r="F650" s="1943"/>
      <c r="G650" s="1947"/>
      <c r="H650" s="1943"/>
    </row>
    <row r="651" spans="1:8">
      <c r="A651" s="1938" t="s">
        <v>3605</v>
      </c>
      <c r="B651" s="1941"/>
      <c r="C651" s="1941"/>
      <c r="D651" s="1941"/>
      <c r="E651" s="1941"/>
      <c r="F651" s="1941"/>
      <c r="G651" s="1941"/>
      <c r="H651" s="1940"/>
    </row>
    <row r="652" spans="1:8" ht="12.75" customHeight="1">
      <c r="A652" s="1942" t="str">
        <f>'Part IV-A-Uses of Funds'!$C$41</f>
        <v>&lt;&lt; Enter description here; provide detail &amp; justification in tab Part IV-b &gt;&gt;</v>
      </c>
      <c r="B652" s="1942"/>
      <c r="C652" s="1942"/>
      <c r="D652" s="1942"/>
      <c r="E652" s="1941"/>
      <c r="F652" s="1943">
        <f>'Part IV-B-Other Items'!F25</f>
        <v>0</v>
      </c>
      <c r="G652" s="1941"/>
      <c r="H652" s="1943">
        <f>'Part IV-B-Other Items'!H25</f>
        <v>0</v>
      </c>
    </row>
    <row r="653" spans="1:8" ht="12.75" customHeight="1">
      <c r="A653" s="1942"/>
      <c r="B653" s="1942"/>
      <c r="C653" s="1942"/>
      <c r="D653" s="1942"/>
      <c r="E653" s="1941"/>
      <c r="F653" s="1943"/>
      <c r="G653" s="1941"/>
      <c r="H653" s="1943"/>
    </row>
    <row r="654" spans="1:8">
      <c r="A654" s="1941"/>
      <c r="B654" s="1941"/>
      <c r="C654" s="1941"/>
      <c r="D654" s="1941"/>
      <c r="E654" s="1941"/>
      <c r="F654" s="1943"/>
      <c r="G654" s="1941"/>
      <c r="H654" s="1943"/>
    </row>
    <row r="655" spans="1:8">
      <c r="A655" s="1944" t="s">
        <v>3606</v>
      </c>
      <c r="B655" s="1945">
        <f>'Part IV-A-Uses of Funds'!$G$41</f>
        <v>0</v>
      </c>
      <c r="C655" s="1944" t="s">
        <v>1768</v>
      </c>
      <c r="D655" s="1945">
        <f>'Part IV-A-Uses of Funds'!$J$41+'Part IV-A-Uses of Funds'!$M$41+'Part IV-A-Uses of Funds'!$P$41</f>
        <v>0</v>
      </c>
      <c r="E655" s="1941"/>
      <c r="F655" s="1943"/>
      <c r="G655" s="1941"/>
      <c r="H655" s="1943"/>
    </row>
    <row r="656" spans="1:8">
      <c r="A656" s="1941"/>
      <c r="B656" s="1946"/>
      <c r="C656" s="1941"/>
      <c r="D656" s="1941"/>
      <c r="E656" s="1941"/>
      <c r="F656" s="1943"/>
      <c r="G656" s="1947"/>
      <c r="H656" s="1943"/>
    </row>
    <row r="657" spans="1:8">
      <c r="A657" s="1938" t="s">
        <v>711</v>
      </c>
      <c r="B657" s="1941"/>
      <c r="C657" s="1941"/>
      <c r="D657" s="1941"/>
      <c r="E657" s="1941"/>
      <c r="F657" s="1941"/>
      <c r="G657" s="1941"/>
      <c r="H657" s="1940"/>
    </row>
    <row r="658" spans="1:8" ht="12.75" customHeight="1">
      <c r="A658" s="1942" t="str">
        <f>'Part IV-A-Uses of Funds'!$C$62</f>
        <v xml:space="preserve">Lender's Due Diligence Fee </v>
      </c>
      <c r="B658" s="1942"/>
      <c r="C658" s="1942"/>
      <c r="D658" s="1942"/>
      <c r="E658" s="1941"/>
      <c r="F658" s="1943" t="str">
        <f>'Part IV-B-Other Items'!F31</f>
        <v xml:space="preserve">The construction loan commitment identifies a $25,000 due diligence fee to cover appraisals, environmental and construction cost reviews. </v>
      </c>
      <c r="G658" s="1941"/>
      <c r="H658" s="1943">
        <f>'Part IV-B-Other Items'!H31</f>
        <v>0</v>
      </c>
    </row>
    <row r="659" spans="1:8" ht="12.75" customHeight="1">
      <c r="A659" s="1942"/>
      <c r="B659" s="1942"/>
      <c r="C659" s="1942"/>
      <c r="D659" s="1942"/>
      <c r="E659" s="1941"/>
      <c r="F659" s="1943"/>
      <c r="G659" s="1941"/>
      <c r="H659" s="1943"/>
    </row>
    <row r="660" spans="1:8">
      <c r="A660" s="1941"/>
      <c r="B660" s="1941"/>
      <c r="C660" s="1941"/>
      <c r="D660" s="1941"/>
      <c r="E660" s="1941"/>
      <c r="F660" s="1943"/>
      <c r="G660" s="1941"/>
      <c r="H660" s="1943"/>
    </row>
    <row r="661" spans="1:8">
      <c r="A661" s="1944" t="s">
        <v>3606</v>
      </c>
      <c r="B661" s="1945">
        <f>'Part IV-A-Uses of Funds'!$G$62</f>
        <v>25000</v>
      </c>
      <c r="C661" s="1944" t="s">
        <v>1768</v>
      </c>
      <c r="D661" s="1945">
        <f>'Part IV-A-Uses of Funds'!$J$62+'Part IV-A-Uses of Funds'!$M$62+'Part IV-A-Uses of Funds'!$P$62</f>
        <v>10000</v>
      </c>
      <c r="E661" s="1941"/>
      <c r="F661" s="1943"/>
      <c r="G661" s="1941"/>
      <c r="H661" s="1943"/>
    </row>
    <row r="662" spans="1:8">
      <c r="A662" s="1940"/>
      <c r="B662" s="1940"/>
      <c r="C662" s="1940"/>
      <c r="D662" s="1941"/>
      <c r="E662" s="1941"/>
      <c r="F662" s="1943"/>
      <c r="G662" s="1947"/>
      <c r="H662" s="1943"/>
    </row>
    <row r="663" spans="1:8" ht="12.75" customHeight="1">
      <c r="A663" s="1942" t="str">
        <f>'Part IV-A-Uses of Funds'!$C$63</f>
        <v>Invest Atlant's Fees</v>
      </c>
      <c r="B663" s="1942"/>
      <c r="C663" s="1942"/>
      <c r="D663" s="1942"/>
      <c r="E663" s="1941"/>
      <c r="F663" s="1943" t="str">
        <f>'Part IV-B-Other Items'!F36</f>
        <v>Invest Atlanta includes the following fees in their commitment: 
$1,500 - Commitment Fee
$1,500 - Attorney's Fees
$1,500 - Origination Fee</v>
      </c>
      <c r="G663" s="1941"/>
      <c r="H663" s="1943">
        <f>'Part IV-B-Other Items'!H36</f>
        <v>0</v>
      </c>
    </row>
    <row r="664" spans="1:8" ht="12.75" customHeight="1">
      <c r="A664" s="1942"/>
      <c r="B664" s="1942"/>
      <c r="C664" s="1942"/>
      <c r="D664" s="1942"/>
      <c r="E664" s="1941"/>
      <c r="F664" s="1943"/>
      <c r="G664" s="1941"/>
      <c r="H664" s="1943"/>
    </row>
    <row r="665" spans="1:8">
      <c r="A665" s="1941"/>
      <c r="B665" s="1941"/>
      <c r="C665" s="1941"/>
      <c r="D665" s="1941"/>
      <c r="E665" s="1941"/>
      <c r="F665" s="1943"/>
      <c r="G665" s="1941"/>
      <c r="H665" s="1943"/>
    </row>
    <row r="666" spans="1:8">
      <c r="A666" s="1944" t="s">
        <v>3606</v>
      </c>
      <c r="B666" s="1945">
        <f>'Part IV-A-Uses of Funds'!$G$63</f>
        <v>4500</v>
      </c>
      <c r="C666" s="1944" t="s">
        <v>1768</v>
      </c>
      <c r="D666" s="1945">
        <f>'Part IV-A-Uses of Funds'!$J$63+'Part IV-A-Uses of Funds'!$M$63+'Part IV-A-Uses of Funds'!$P$63</f>
        <v>1500</v>
      </c>
      <c r="E666" s="1941"/>
      <c r="F666" s="1943"/>
      <c r="G666" s="1941"/>
      <c r="H666" s="1943"/>
    </row>
    <row r="667" spans="1:8">
      <c r="A667" s="1940"/>
      <c r="B667" s="1940"/>
      <c r="C667" s="1940"/>
      <c r="D667" s="1941"/>
      <c r="E667" s="1941"/>
      <c r="F667" s="1943"/>
      <c r="G667" s="1947"/>
      <c r="H667" s="1943"/>
    </row>
    <row r="668" spans="1:8">
      <c r="A668" s="1938" t="s">
        <v>472</v>
      </c>
      <c r="B668" s="1941"/>
      <c r="C668" s="1941"/>
      <c r="D668" s="1941"/>
      <c r="E668" s="1917"/>
      <c r="F668" s="1917"/>
      <c r="G668" s="1941"/>
      <c r="H668" s="1940"/>
    </row>
    <row r="669" spans="1:8" ht="13.5" customHeight="1">
      <c r="A669" s="1942" t="str">
        <f>'Part IV-A-Uses of Funds'!$C$76</f>
        <v>&lt;&lt; Enter description here; provide detail &amp; justification in tab Part IV-b &gt;&gt;</v>
      </c>
      <c r="B669" s="1942"/>
      <c r="C669" s="1942"/>
      <c r="D669" s="1942"/>
      <c r="E669" s="1940"/>
      <c r="F669" s="1943">
        <f>'Part IV-B-Other Items'!F42</f>
        <v>0</v>
      </c>
      <c r="G669" s="1941"/>
      <c r="H669" s="1943">
        <f>'Part IV-B-Other Items'!H42</f>
        <v>0</v>
      </c>
    </row>
    <row r="670" spans="1:8" ht="12.75" customHeight="1">
      <c r="A670" s="1942"/>
      <c r="B670" s="1942"/>
      <c r="C670" s="1942"/>
      <c r="D670" s="1942"/>
      <c r="E670" s="1941"/>
      <c r="F670" s="1943"/>
      <c r="G670" s="1941"/>
      <c r="H670" s="1943"/>
    </row>
    <row r="671" spans="1:8">
      <c r="A671" s="1941"/>
      <c r="B671" s="1941"/>
      <c r="C671" s="1941"/>
      <c r="D671" s="1941"/>
      <c r="E671" s="1941"/>
      <c r="F671" s="1943"/>
      <c r="G671" s="1941"/>
      <c r="H671" s="1943"/>
    </row>
    <row r="672" spans="1:8">
      <c r="A672" s="1944" t="s">
        <v>3606</v>
      </c>
      <c r="B672" s="1945">
        <f>'Part IV-A-Uses of Funds'!$G$76</f>
        <v>0</v>
      </c>
      <c r="C672" s="1944" t="s">
        <v>1768</v>
      </c>
      <c r="D672" s="1945">
        <f>'Part IV-A-Uses of Funds'!$J$76+'Part IV-A-Uses of Funds'!$M$76+'Part IV-A-Uses of Funds'!$P$76</f>
        <v>0</v>
      </c>
      <c r="E672" s="1941"/>
      <c r="F672" s="1943"/>
      <c r="G672" s="1941"/>
      <c r="H672" s="1943"/>
    </row>
    <row r="673" spans="1:8">
      <c r="A673" s="1941"/>
      <c r="B673" s="1946"/>
      <c r="C673" s="1941"/>
      <c r="D673" s="1941"/>
      <c r="E673" s="1941"/>
      <c r="F673" s="1943"/>
      <c r="G673" s="1947"/>
      <c r="H673" s="1943"/>
    </row>
    <row r="674" spans="1:8">
      <c r="A674" s="1938" t="s">
        <v>713</v>
      </c>
      <c r="B674" s="1941"/>
      <c r="C674" s="1941"/>
      <c r="D674" s="1941"/>
      <c r="E674" s="1941"/>
      <c r="F674" s="1941"/>
      <c r="G674" s="1941"/>
      <c r="H674" s="1940"/>
    </row>
    <row r="675" spans="1:8" ht="13.5" customHeight="1">
      <c r="A675" s="1942" t="str">
        <f>'Part IV-A-Uses of Funds'!$C$90</f>
        <v>&lt;&lt; Enter description here; provide detail &amp; justification in tab Part IV-b &gt;&gt;</v>
      </c>
      <c r="B675" s="1942"/>
      <c r="C675" s="1942"/>
      <c r="D675" s="1942"/>
      <c r="E675" s="1940"/>
      <c r="F675" s="1943">
        <f>'Part IV-B-Other Items'!F48</f>
        <v>0</v>
      </c>
      <c r="G675" s="1941"/>
      <c r="H675" s="1940"/>
    </row>
    <row r="676" spans="1:8">
      <c r="A676" s="1942"/>
      <c r="B676" s="1942"/>
      <c r="C676" s="1942"/>
      <c r="D676" s="1942"/>
      <c r="E676" s="1941"/>
      <c r="F676" s="1943"/>
      <c r="G676" s="1941"/>
      <c r="H676" s="1940"/>
    </row>
    <row r="677" spans="1:8">
      <c r="A677" s="1941"/>
      <c r="B677" s="1941"/>
      <c r="C677" s="1941"/>
      <c r="D677" s="1941"/>
      <c r="E677" s="1941"/>
      <c r="F677" s="1943"/>
      <c r="G677" s="1941"/>
      <c r="H677" s="1940"/>
    </row>
    <row r="678" spans="1:8">
      <c r="A678" s="1944" t="s">
        <v>3606</v>
      </c>
      <c r="B678" s="1945">
        <f>'Part IV-A-Uses of Funds'!$G$90</f>
        <v>0</v>
      </c>
      <c r="C678" s="1948"/>
      <c r="D678" s="1948"/>
      <c r="E678" s="1941"/>
      <c r="F678" s="1943"/>
      <c r="G678" s="1941"/>
      <c r="H678" s="1940"/>
    </row>
    <row r="679" spans="1:8">
      <c r="A679" s="1941"/>
      <c r="B679" s="1941"/>
      <c r="C679" s="1941"/>
      <c r="D679" s="1941"/>
      <c r="E679" s="1941"/>
      <c r="F679" s="1943"/>
      <c r="G679" s="1947"/>
      <c r="H679" s="1940"/>
    </row>
    <row r="680" spans="1:8">
      <c r="A680" s="1938" t="s">
        <v>4771</v>
      </c>
      <c r="B680" s="1941"/>
      <c r="C680" s="1941"/>
      <c r="D680" s="1941"/>
      <c r="E680" s="1941"/>
      <c r="F680" s="1941"/>
      <c r="G680" s="1941"/>
      <c r="H680" s="1940"/>
    </row>
    <row r="681" spans="1:8" ht="13.5" customHeight="1">
      <c r="A681" s="1942" t="str">
        <f>'Part IV-A-Uses of Funds'!$C$103</f>
        <v>&lt;&lt; Enter description here; provide detail &amp; justification in tab Part IV-b &gt;&gt;</v>
      </c>
      <c r="B681" s="1942"/>
      <c r="C681" s="1942"/>
      <c r="D681" s="1942"/>
      <c r="E681" s="1940"/>
      <c r="F681" s="1943">
        <f>'Part IV-B-Other Items'!F54</f>
        <v>0</v>
      </c>
      <c r="G681" s="1941"/>
      <c r="H681" s="1940"/>
    </row>
    <row r="682" spans="1:8">
      <c r="A682" s="1942"/>
      <c r="B682" s="1942"/>
      <c r="C682" s="1942"/>
      <c r="D682" s="1942"/>
      <c r="E682" s="1941"/>
      <c r="F682" s="1943"/>
      <c r="G682" s="1941"/>
      <c r="H682" s="1940"/>
    </row>
    <row r="683" spans="1:8">
      <c r="A683" s="1941"/>
      <c r="B683" s="1941"/>
      <c r="C683" s="1941"/>
      <c r="D683" s="1941"/>
      <c r="E683" s="1941"/>
      <c r="F683" s="1943"/>
      <c r="G683" s="1941"/>
      <c r="H683" s="1940"/>
    </row>
    <row r="684" spans="1:8">
      <c r="A684" s="1944" t="s">
        <v>3606</v>
      </c>
      <c r="B684" s="1945">
        <f>'Part IV-A-Uses of Funds'!$G$103</f>
        <v>0</v>
      </c>
      <c r="C684" s="1948"/>
      <c r="D684" s="1948"/>
      <c r="E684" s="1941"/>
      <c r="F684" s="1943"/>
      <c r="G684" s="1941"/>
      <c r="H684" s="1940"/>
    </row>
    <row r="685" spans="1:8">
      <c r="A685" s="1939"/>
      <c r="B685" s="1939"/>
      <c r="C685" s="1939"/>
      <c r="D685" s="1939"/>
      <c r="E685" s="1939"/>
      <c r="F685" s="1943"/>
      <c r="G685" s="1947"/>
      <c r="H685" s="1940"/>
    </row>
    <row r="686" spans="1:8" ht="13.5" customHeight="1">
      <c r="A686" s="1942" t="str">
        <f>'Part IV-A-Uses of Funds'!$C$104</f>
        <v>&lt;&lt; Enter description here; provide detail &amp; justification in tab Part IV-b &gt;&gt;</v>
      </c>
      <c r="B686" s="1942"/>
      <c r="C686" s="1942"/>
      <c r="D686" s="1942"/>
      <c r="E686" s="1940"/>
      <c r="F686" s="1943">
        <f>'Part IV-B-Other Items'!F59</f>
        <v>0</v>
      </c>
      <c r="G686" s="1941"/>
      <c r="H686" s="1940"/>
    </row>
    <row r="687" spans="1:8">
      <c r="A687" s="1942"/>
      <c r="B687" s="1942"/>
      <c r="C687" s="1942"/>
      <c r="D687" s="1942"/>
      <c r="E687" s="1941"/>
      <c r="F687" s="1943"/>
      <c r="G687" s="1941"/>
      <c r="H687" s="1940"/>
    </row>
    <row r="688" spans="1:8">
      <c r="A688" s="1941"/>
      <c r="B688" s="1941"/>
      <c r="C688" s="1941"/>
      <c r="D688" s="1941"/>
      <c r="E688" s="1941"/>
      <c r="F688" s="1943"/>
      <c r="G688" s="1941"/>
      <c r="H688" s="1940"/>
    </row>
    <row r="689" spans="1:8">
      <c r="A689" s="1944" t="s">
        <v>3606</v>
      </c>
      <c r="B689" s="1945">
        <f>'Part IV-A-Uses of Funds'!$G$104</f>
        <v>0</v>
      </c>
      <c r="C689" s="1948"/>
      <c r="D689" s="1948"/>
      <c r="E689" s="1941"/>
      <c r="F689" s="1943"/>
      <c r="G689" s="1941"/>
      <c r="H689" s="1940"/>
    </row>
    <row r="690" spans="1:8">
      <c r="A690" s="1939"/>
      <c r="B690" s="1939"/>
      <c r="C690" s="1939"/>
      <c r="D690" s="1939"/>
      <c r="E690" s="1939"/>
      <c r="F690" s="1943"/>
      <c r="G690" s="1947"/>
      <c r="H690" s="1940"/>
    </row>
    <row r="691" spans="1:8">
      <c r="A691" s="1938" t="s">
        <v>4772</v>
      </c>
      <c r="B691" s="1941"/>
      <c r="C691" s="1941"/>
      <c r="D691" s="1941"/>
      <c r="E691" s="1941"/>
      <c r="F691" s="1941"/>
      <c r="G691" s="1941"/>
      <c r="H691" s="1940"/>
    </row>
    <row r="692" spans="1:8" ht="13.5" customHeight="1">
      <c r="A692" s="1942" t="str">
        <f>'Part IV-A-Uses of Funds'!$C$110</f>
        <v>Due Diligence Review Fee</v>
      </c>
      <c r="B692" s="1942"/>
      <c r="C692" s="1942"/>
      <c r="D692" s="1942"/>
      <c r="E692" s="1940"/>
      <c r="F692" s="1943" t="str">
        <f>'Part IV-B-Other Items'!F65</f>
        <v>The equity commitment provided by RBC includes a $25,000 due diligence fee.</v>
      </c>
      <c r="G692" s="1941"/>
      <c r="H692" s="1940"/>
    </row>
    <row r="693" spans="1:8">
      <c r="A693" s="1942"/>
      <c r="B693" s="1942"/>
      <c r="C693" s="1942"/>
      <c r="D693" s="1942"/>
      <c r="E693" s="1941"/>
      <c r="F693" s="1943"/>
      <c r="G693" s="1941"/>
      <c r="H693" s="1940"/>
    </row>
    <row r="694" spans="1:8">
      <c r="A694" s="1941"/>
      <c r="B694" s="1941"/>
      <c r="C694" s="1941"/>
      <c r="D694" s="1941"/>
      <c r="E694" s="1941"/>
      <c r="F694" s="1943"/>
      <c r="G694" s="1941"/>
      <c r="H694" s="1940"/>
    </row>
    <row r="695" spans="1:8">
      <c r="A695" s="1944" t="s">
        <v>3606</v>
      </c>
      <c r="B695" s="1945">
        <f>'Part IV-A-Uses of Funds'!$G$110</f>
        <v>25000</v>
      </c>
      <c r="C695" s="1948"/>
      <c r="D695" s="1948"/>
      <c r="E695" s="1941"/>
      <c r="F695" s="1943"/>
      <c r="G695" s="1941"/>
      <c r="H695" s="1940"/>
    </row>
    <row r="696" spans="1:8">
      <c r="A696" s="1941"/>
      <c r="B696" s="1946"/>
      <c r="C696" s="1941"/>
      <c r="D696" s="1941"/>
      <c r="E696" s="1941"/>
      <c r="F696" s="1943"/>
      <c r="G696" s="1947"/>
      <c r="H696" s="1940"/>
    </row>
    <row r="697" spans="1:8">
      <c r="A697" s="1938" t="s">
        <v>1294</v>
      </c>
      <c r="B697" s="1941"/>
      <c r="C697" s="1941"/>
      <c r="D697" s="1941"/>
      <c r="E697" s="1941"/>
      <c r="F697" s="1941"/>
      <c r="G697" s="1941"/>
      <c r="H697" s="1940"/>
    </row>
    <row r="698" spans="1:8" ht="13.5" customHeight="1">
      <c r="A698" s="1942" t="str">
        <f>'Part IV-A-Uses of Funds'!$C$125</f>
        <v>&lt;&lt; Enter description here; provide detail &amp; justification in tab Part IV-b &gt;&gt;</v>
      </c>
      <c r="B698" s="1942"/>
      <c r="C698" s="1942"/>
      <c r="D698" s="1942"/>
      <c r="E698" s="1940"/>
      <c r="F698" s="1943">
        <f>'Part IV-B-Other Items'!F71</f>
        <v>0</v>
      </c>
      <c r="G698" s="1941"/>
      <c r="H698" s="1943">
        <f>'Part IV-B-Other Items'!H71</f>
        <v>0</v>
      </c>
    </row>
    <row r="699" spans="1:8" ht="12.75" customHeight="1">
      <c r="A699" s="1942"/>
      <c r="B699" s="1942"/>
      <c r="C699" s="1942"/>
      <c r="D699" s="1942"/>
      <c r="E699" s="1941"/>
      <c r="F699" s="1943"/>
      <c r="G699" s="1941"/>
      <c r="H699" s="1943"/>
    </row>
    <row r="700" spans="1:8">
      <c r="A700" s="1941"/>
      <c r="B700" s="1941"/>
      <c r="C700" s="1941"/>
      <c r="D700" s="1941"/>
      <c r="E700" s="1941"/>
      <c r="F700" s="1943"/>
      <c r="G700" s="1941"/>
      <c r="H700" s="1943"/>
    </row>
    <row r="701" spans="1:8">
      <c r="A701" s="1944" t="s">
        <v>3606</v>
      </c>
      <c r="B701" s="1945">
        <f>'Part IV-A-Uses of Funds'!$G$125</f>
        <v>0</v>
      </c>
      <c r="C701" s="1944" t="s">
        <v>1768</v>
      </c>
      <c r="D701" s="1945">
        <f>'Part IV-A-Uses of Funds'!$J$125+'Part IV-A-Uses of Funds'!$M$125+'Part IV-A-Uses of Funds'!$P$125</f>
        <v>0</v>
      </c>
      <c r="E701" s="1941"/>
      <c r="F701" s="1943"/>
      <c r="G701" s="1941"/>
      <c r="H701" s="1943"/>
    </row>
    <row r="702" spans="1:8">
      <c r="A702" s="1941"/>
      <c r="B702" s="1946"/>
      <c r="C702" s="1941"/>
      <c r="D702" s="1941"/>
      <c r="E702" s="1941"/>
      <c r="F702" s="1943"/>
      <c r="G702" s="1947"/>
      <c r="H702" s="1943"/>
    </row>
    <row r="703" spans="1:8">
      <c r="A703" s="1938" t="s">
        <v>4773</v>
      </c>
      <c r="B703" s="1946"/>
      <c r="C703" s="1941"/>
      <c r="D703" s="1941"/>
      <c r="E703" s="1941"/>
      <c r="F703" s="1941"/>
      <c r="G703" s="1947"/>
      <c r="H703" s="1940"/>
    </row>
    <row r="704" spans="1:8" ht="13.5" customHeight="1">
      <c r="A704" s="1942" t="str">
        <f>'Part IV-A-Uses of Funds'!$C$129</f>
        <v>&lt;&lt; Enter description here; provide detail &amp; justification in tab Part IV-b &gt;&gt;</v>
      </c>
      <c r="B704" s="1942"/>
      <c r="C704" s="1942"/>
      <c r="D704" s="1942"/>
      <c r="E704" s="1940"/>
      <c r="F704" s="1943">
        <f>'Part IV-B-Other Items'!F77</f>
        <v>0</v>
      </c>
      <c r="G704" s="1941"/>
      <c r="H704" s="1943">
        <f>'Part IV-B-Other Items'!H77</f>
        <v>0</v>
      </c>
    </row>
    <row r="705" spans="1:13" ht="12.75" customHeight="1">
      <c r="A705" s="1942"/>
      <c r="B705" s="1942"/>
      <c r="C705" s="1942"/>
      <c r="D705" s="1942"/>
      <c r="E705" s="1941"/>
      <c r="F705" s="1943"/>
      <c r="G705" s="1941"/>
      <c r="H705" s="1943"/>
    </row>
    <row r="706" spans="1:13">
      <c r="A706" s="1941"/>
      <c r="B706" s="1941"/>
      <c r="C706" s="1941"/>
      <c r="D706" s="1941"/>
      <c r="E706" s="1941"/>
      <c r="F706" s="1943"/>
      <c r="G706" s="1941"/>
      <c r="H706" s="1943"/>
    </row>
    <row r="707" spans="1:13">
      <c r="A707" s="1944" t="s">
        <v>3606</v>
      </c>
      <c r="B707" s="1945">
        <f>'Part IV-A-Uses of Funds'!$G$129</f>
        <v>0</v>
      </c>
      <c r="C707" s="1944" t="s">
        <v>1768</v>
      </c>
      <c r="D707" s="1945">
        <f>'Part IV-A-Uses of Funds'!$J$129+'Part IV-A-Uses of Funds'!$M$129+'Part IV-A-Uses of Funds'!$P$129</f>
        <v>0</v>
      </c>
      <c r="E707" s="1941"/>
      <c r="F707" s="1943"/>
      <c r="G707" s="1941"/>
      <c r="H707" s="1943"/>
    </row>
    <row r="708" spans="1:13">
      <c r="A708" s="1940"/>
      <c r="B708" s="1940"/>
      <c r="C708" s="1940"/>
      <c r="D708" s="1941"/>
      <c r="E708" s="1945"/>
      <c r="F708" s="1943"/>
      <c r="G708" s="1947"/>
      <c r="H708" s="1943"/>
    </row>
    <row r="711" spans="1:13">
      <c r="A711" s="1311" t="str">
        <f>CONCATENATE("PART FIVE - UTILITY ALLOWANCES","  -  ",'Part I-Project Information'!$O$6," ",'Part I-Project Information'!$F$34,", ",'Part I-Project Information'!F748,", ",'Part I-Project Information'!J749," County")</f>
        <v>PART FIVE - UTILITY ALLOWANCES  -  2019-063 Haven at South Atlanta, ,  County</v>
      </c>
      <c r="B711" s="1311"/>
      <c r="C711" s="1311"/>
      <c r="D711" s="1311"/>
      <c r="E711" s="1311"/>
      <c r="F711" s="1311"/>
      <c r="G711" s="1311"/>
      <c r="H711" s="1311"/>
      <c r="I711" s="1311"/>
      <c r="J711" s="1311"/>
      <c r="K711" s="1311"/>
      <c r="L711" s="1311"/>
      <c r="M711" s="1311"/>
    </row>
    <row r="713" spans="1:13">
      <c r="B713" s="1805" t="str">
        <f>'Part I-Project Information'!$B$6</f>
        <v>May 2019</v>
      </c>
      <c r="C713" s="1805"/>
      <c r="D713" s="1805"/>
      <c r="E713" s="1805"/>
      <c r="F713" s="1311" t="s">
        <v>4278</v>
      </c>
      <c r="I713" s="1949" t="str">
        <f>VLOOKUP('Part I-Project Information'!$J$39,'DCA Underwriting Assumptions'!$G$158:$H$317,2)</f>
        <v>Local PHA</v>
      </c>
    </row>
    <row r="715" spans="1:13">
      <c r="A715" s="1950" t="s">
        <v>3689</v>
      </c>
    </row>
    <row r="717" spans="1:13" ht="26.4">
      <c r="A717" s="638" t="s">
        <v>605</v>
      </c>
      <c r="B717" s="638" t="s">
        <v>2199</v>
      </c>
      <c r="F717" s="638" t="s">
        <v>2486</v>
      </c>
      <c r="I717" s="1951" t="str">
        <f>'Part V-Utility Allowances'!I7</f>
        <v>Atlanta Housing Authority</v>
      </c>
      <c r="J717" s="1951"/>
      <c r="K717" s="1951"/>
      <c r="L717" s="1951"/>
      <c r="M717" s="1951"/>
    </row>
    <row r="718" spans="1:13">
      <c r="F718" s="638" t="s">
        <v>625</v>
      </c>
      <c r="I718" s="1952">
        <f>'Part V-Utility Allowances'!I8</f>
        <v>43282</v>
      </c>
      <c r="J718" s="1952"/>
      <c r="K718" s="1953" t="s">
        <v>532</v>
      </c>
      <c r="L718" s="1860" t="str">
        <f>'Part V-Utility Allowances'!L8</f>
        <v>MF</v>
      </c>
      <c r="M718" s="1860"/>
    </row>
    <row r="720" spans="1:13">
      <c r="F720" s="1860" t="s">
        <v>599</v>
      </c>
      <c r="G720" s="1860"/>
      <c r="I720" s="1860" t="s">
        <v>198</v>
      </c>
      <c r="J720" s="1860"/>
      <c r="K720" s="1860"/>
      <c r="L720" s="1860"/>
      <c r="M720" s="1860"/>
    </row>
    <row r="721" spans="1:13">
      <c r="B721" s="638" t="s">
        <v>786</v>
      </c>
      <c r="D721" s="638" t="s">
        <v>1580</v>
      </c>
      <c r="F721" s="1953" t="s">
        <v>631</v>
      </c>
      <c r="G721" s="1953" t="s">
        <v>1825</v>
      </c>
      <c r="I721" s="1953" t="s">
        <v>558</v>
      </c>
      <c r="J721" s="1953">
        <v>1</v>
      </c>
      <c r="K721" s="1953">
        <v>2</v>
      </c>
      <c r="L721" s="1953">
        <v>3</v>
      </c>
      <c r="M721" s="1953">
        <v>4</v>
      </c>
    </row>
    <row r="722" spans="1:13">
      <c r="B722" s="638" t="s">
        <v>1827</v>
      </c>
      <c r="D722" s="1860" t="str">
        <f>'Part V-Utility Allowances'!D12</f>
        <v>Electric Heat Pump</v>
      </c>
      <c r="E722" s="1860"/>
      <c r="F722" s="1954" t="str">
        <f>'Part V-Utility Allowances'!F12</f>
        <v>X</v>
      </c>
      <c r="G722" s="1954">
        <f>'Part V-Utility Allowances'!G12</f>
        <v>0</v>
      </c>
      <c r="I722" s="1953">
        <f>'Part V-Utility Allowances'!I12</f>
        <v>0</v>
      </c>
      <c r="J722" s="1953">
        <f>'Part V-Utility Allowances'!J12</f>
        <v>7</v>
      </c>
      <c r="K722" s="1953">
        <f>'Part V-Utility Allowances'!K12</f>
        <v>9</v>
      </c>
      <c r="L722" s="1953">
        <f>'Part V-Utility Allowances'!L12</f>
        <v>11</v>
      </c>
      <c r="M722" s="1953">
        <f>'Part V-Utility Allowances'!M12</f>
        <v>0</v>
      </c>
    </row>
    <row r="723" spans="1:13">
      <c r="B723" s="638" t="s">
        <v>1578</v>
      </c>
      <c r="D723" s="1860" t="str">
        <f>'Part V-Utility Allowances'!D13</f>
        <v>Electric</v>
      </c>
      <c r="E723" s="1860"/>
      <c r="F723" s="1954" t="str">
        <f>'Part V-Utility Allowances'!F13</f>
        <v>X</v>
      </c>
      <c r="G723" s="1954">
        <f>'Part V-Utility Allowances'!G13</f>
        <v>0</v>
      </c>
      <c r="I723" s="1953">
        <f>'Part V-Utility Allowances'!I13</f>
        <v>0</v>
      </c>
      <c r="J723" s="1953">
        <f>'Part V-Utility Allowances'!J13</f>
        <v>9</v>
      </c>
      <c r="K723" s="1953">
        <f>'Part V-Utility Allowances'!K13</f>
        <v>11</v>
      </c>
      <c r="L723" s="1953">
        <f>'Part V-Utility Allowances'!L13</f>
        <v>14</v>
      </c>
      <c r="M723" s="1953">
        <f>'Part V-Utility Allowances'!M13</f>
        <v>0</v>
      </c>
    </row>
    <row r="724" spans="1:13">
      <c r="B724" s="638" t="s">
        <v>1579</v>
      </c>
      <c r="D724" s="1860" t="str">
        <f>'Part V-Utility Allowances'!D14</f>
        <v>Electric</v>
      </c>
      <c r="E724" s="1860"/>
      <c r="F724" s="1954" t="str">
        <f>'Part V-Utility Allowances'!F14</f>
        <v>X</v>
      </c>
      <c r="G724" s="1954">
        <f>'Part V-Utility Allowances'!G14</f>
        <v>0</v>
      </c>
      <c r="I724" s="1953">
        <f>'Part V-Utility Allowances'!I14</f>
        <v>0</v>
      </c>
      <c r="J724" s="1953">
        <f>'Part V-Utility Allowances'!J14</f>
        <v>18</v>
      </c>
      <c r="K724" s="1953">
        <f>'Part V-Utility Allowances'!K14</f>
        <v>25</v>
      </c>
      <c r="L724" s="1953">
        <f>'Part V-Utility Allowances'!L14</f>
        <v>32</v>
      </c>
      <c r="M724" s="1953">
        <f>'Part V-Utility Allowances'!M14</f>
        <v>0</v>
      </c>
    </row>
    <row r="725" spans="1:13">
      <c r="B725" s="638" t="s">
        <v>463</v>
      </c>
      <c r="D725" s="638" t="s">
        <v>1577</v>
      </c>
      <c r="F725" s="1954" t="str">
        <f>'Part V-Utility Allowances'!F15</f>
        <v>X</v>
      </c>
      <c r="G725" s="1954">
        <f>'Part V-Utility Allowances'!G15</f>
        <v>0</v>
      </c>
      <c r="I725" s="1953">
        <f>'Part V-Utility Allowances'!I15</f>
        <v>0</v>
      </c>
      <c r="J725" s="1953">
        <f>'Part V-Utility Allowances'!J15</f>
        <v>9</v>
      </c>
      <c r="K725" s="1953">
        <f>'Part V-Utility Allowances'!K15</f>
        <v>16</v>
      </c>
      <c r="L725" s="1953">
        <f>'Part V-Utility Allowances'!L15</f>
        <v>22</v>
      </c>
      <c r="M725" s="1953">
        <f>'Part V-Utility Allowances'!M15</f>
        <v>0</v>
      </c>
    </row>
    <row r="726" spans="1:13">
      <c r="B726" s="638" t="s">
        <v>3686</v>
      </c>
      <c r="D726" s="638" t="s">
        <v>1577</v>
      </c>
      <c r="F726" s="1954">
        <f>'Part V-Utility Allowances'!F16</f>
        <v>0</v>
      </c>
      <c r="G726" s="1954" t="str">
        <f>'Part V-Utility Allowances'!G16</f>
        <v>X</v>
      </c>
      <c r="I726" s="1953">
        <f>'Part V-Utility Allowances'!I16</f>
        <v>0</v>
      </c>
      <c r="J726" s="1953">
        <f>'Part V-Utility Allowances'!J16</f>
        <v>0</v>
      </c>
      <c r="K726" s="1953">
        <f>'Part V-Utility Allowances'!K16</f>
        <v>0</v>
      </c>
      <c r="L726" s="1953">
        <f>'Part V-Utility Allowances'!L16</f>
        <v>0</v>
      </c>
      <c r="M726" s="1953">
        <f>'Part V-Utility Allowances'!M16</f>
        <v>0</v>
      </c>
    </row>
    <row r="727" spans="1:13">
      <c r="B727" s="638" t="s">
        <v>3687</v>
      </c>
      <c r="D727" s="638" t="s">
        <v>1577</v>
      </c>
      <c r="F727" s="1954">
        <f>'Part V-Utility Allowances'!F17</f>
        <v>0</v>
      </c>
      <c r="G727" s="1954" t="str">
        <f>'Part V-Utility Allowances'!G17</f>
        <v>X</v>
      </c>
      <c r="I727" s="1953">
        <f>'Part V-Utility Allowances'!I17</f>
        <v>0</v>
      </c>
      <c r="J727" s="1953">
        <f>'Part V-Utility Allowances'!J17</f>
        <v>0</v>
      </c>
      <c r="K727" s="1953">
        <f>'Part V-Utility Allowances'!K17</f>
        <v>0</v>
      </c>
      <c r="L727" s="1953">
        <f>'Part V-Utility Allowances'!L17</f>
        <v>0</v>
      </c>
      <c r="M727" s="1953">
        <f>'Part V-Utility Allowances'!M17</f>
        <v>0</v>
      </c>
    </row>
    <row r="728" spans="1:13">
      <c r="B728" s="638" t="s">
        <v>3688</v>
      </c>
      <c r="D728" s="638" t="s">
        <v>1577</v>
      </c>
      <c r="F728" s="1954" t="str">
        <f>'Part V-Utility Allowances'!F18</f>
        <v>X</v>
      </c>
      <c r="G728" s="1954">
        <f>'Part V-Utility Allowances'!G18</f>
        <v>0</v>
      </c>
      <c r="I728" s="1953">
        <f>'Part V-Utility Allowances'!I18</f>
        <v>0</v>
      </c>
      <c r="J728" s="1953">
        <f>'Part V-Utility Allowances'!J18</f>
        <v>39</v>
      </c>
      <c r="K728" s="1953">
        <f>'Part V-Utility Allowances'!K18</f>
        <v>48</v>
      </c>
      <c r="L728" s="1953">
        <f>'Part V-Utility Allowances'!L18</f>
        <v>57</v>
      </c>
      <c r="M728" s="1953">
        <f>'Part V-Utility Allowances'!M18</f>
        <v>0</v>
      </c>
    </row>
    <row r="729" spans="1:13">
      <c r="B729" s="638" t="s">
        <v>1355</v>
      </c>
      <c r="D729" s="638" t="s">
        <v>4271</v>
      </c>
      <c r="E729" s="1953" t="str">
        <f>'Part V-Utility Allowances'!E19</f>
        <v>Yes</v>
      </c>
      <c r="F729" s="1954" t="str">
        <f>'Part V-Utility Allowances'!F19</f>
        <v>X</v>
      </c>
      <c r="G729" s="1954">
        <f>'Part V-Utility Allowances'!G19</f>
        <v>0</v>
      </c>
      <c r="I729" s="1953">
        <f>'Part V-Utility Allowances'!I19</f>
        <v>0</v>
      </c>
      <c r="J729" s="1953">
        <f>'Part V-Utility Allowances'!J19</f>
        <v>75</v>
      </c>
      <c r="K729" s="1953">
        <f>'Part V-Utility Allowances'!K19</f>
        <v>117</v>
      </c>
      <c r="L729" s="1953">
        <f>'Part V-Utility Allowances'!L19</f>
        <v>164</v>
      </c>
      <c r="M729" s="1953">
        <f>'Part V-Utility Allowances'!M19</f>
        <v>0</v>
      </c>
    </row>
    <row r="730" spans="1:13">
      <c r="B730" s="638" t="s">
        <v>1826</v>
      </c>
      <c r="F730" s="1954">
        <f>'Part V-Utility Allowances'!F20</f>
        <v>0</v>
      </c>
      <c r="G730" s="1954" t="str">
        <f>'Part V-Utility Allowances'!G20</f>
        <v>X</v>
      </c>
      <c r="I730" s="1953">
        <f>'Part V-Utility Allowances'!I20</f>
        <v>0</v>
      </c>
      <c r="J730" s="1953">
        <f>'Part V-Utility Allowances'!J20</f>
        <v>0</v>
      </c>
      <c r="K730" s="1953">
        <f>'Part V-Utility Allowances'!K20</f>
        <v>0</v>
      </c>
      <c r="L730" s="1953">
        <f>'Part V-Utility Allowances'!L20</f>
        <v>0</v>
      </c>
      <c r="M730" s="1953">
        <f>'Part V-Utility Allowances'!M20</f>
        <v>0</v>
      </c>
    </row>
    <row r="731" spans="1:13">
      <c r="B731" s="638" t="s">
        <v>730</v>
      </c>
      <c r="C731" s="457">
        <f>'Part V-Utility Allowances'!C21</f>
        <v>0</v>
      </c>
      <c r="D731" s="457"/>
      <c r="E731" s="457"/>
      <c r="F731" s="1954">
        <f>'Part V-Utility Allowances'!F21</f>
        <v>0</v>
      </c>
      <c r="G731" s="1954">
        <f>'Part V-Utility Allowances'!G21</f>
        <v>0</v>
      </c>
      <c r="I731" s="1953">
        <f>'Part V-Utility Allowances'!I21</f>
        <v>0</v>
      </c>
      <c r="J731" s="1953">
        <f>'Part V-Utility Allowances'!J21</f>
        <v>0</v>
      </c>
      <c r="K731" s="1953">
        <f>'Part V-Utility Allowances'!K21</f>
        <v>0</v>
      </c>
      <c r="L731" s="1953">
        <f>'Part V-Utility Allowances'!L21</f>
        <v>0</v>
      </c>
      <c r="M731" s="1953">
        <f>'Part V-Utility Allowances'!M21</f>
        <v>0</v>
      </c>
    </row>
    <row r="732" spans="1:13">
      <c r="B732" s="638" t="s">
        <v>1007</v>
      </c>
      <c r="F732" s="1953"/>
      <c r="G732" s="1953"/>
      <c r="I732" s="1953">
        <f>IF(SUM(I722:I731)=0,0,IF(OR($D722="&lt;&lt;Select Fuel &gt;&gt;",$D723="&lt;&lt;Select Fuel &gt;&gt;",$D724="&lt;&lt;Select Fuel &gt;&gt;"),"Select Fuel",IF($E729="&lt;Select&gt;","Submeter?",SUM(I722:I731))))</f>
        <v>0</v>
      </c>
      <c r="J732" s="1953">
        <f>IF(SUM(J722:J731)=0,0,IF(OR($D722="&lt;&lt;Select Fuel &gt;&gt;",$D723="&lt;&lt;Select Fuel &gt;&gt;",$D724="&lt;&lt;Select Fuel &gt;&gt;"),"Select Fuel",IF($E729="&lt;Select&gt;","Submeter?",SUM(J722:J731))))</f>
        <v>157</v>
      </c>
      <c r="K732" s="1953">
        <f>IF(SUM(K722:K731)=0,0,IF(OR($D722="&lt;&lt;Select Fuel &gt;&gt;",$D723="&lt;&lt;Select Fuel &gt;&gt;",$D724="&lt;&lt;Select Fuel &gt;&gt;"),"Select Fuel",IF($E729="&lt;Select&gt;","Submeter?",SUM(K722:K731))))</f>
        <v>226</v>
      </c>
      <c r="L732" s="1953">
        <f>IF(SUM(L722:L731)=0,0,IF(OR($D722="&lt;&lt;Select Fuel &gt;&gt;",$D723="&lt;&lt;Select Fuel &gt;&gt;",$D724="&lt;&lt;Select Fuel &gt;&gt;"),"Select Fuel",IF($E729="&lt;Select&gt;","Submeter?",SUM(L722:L731))))</f>
        <v>300</v>
      </c>
      <c r="M732" s="1953">
        <f>IF(SUM(M722:M731)=0,0,IF(OR($D722="&lt;&lt;Select Fuel &gt;&gt;",$D723="&lt;&lt;Select Fuel &gt;&gt;",$D724="&lt;&lt;Select Fuel &gt;&gt;"),"Select Fuel",IF($E729="&lt;Select&gt;","Submeter?",SUM(M722:M731))))</f>
        <v>0</v>
      </c>
    </row>
    <row r="734" spans="1:13">
      <c r="A734" s="638" t="s">
        <v>729</v>
      </c>
      <c r="B734" s="638" t="s">
        <v>2200</v>
      </c>
      <c r="F734" s="638" t="s">
        <v>2486</v>
      </c>
      <c r="I734" s="1951">
        <f>'Part V-Utility Allowances'!I24</f>
        <v>0</v>
      </c>
      <c r="J734" s="1951"/>
      <c r="K734" s="1951"/>
      <c r="L734" s="1951"/>
      <c r="M734" s="1951"/>
    </row>
    <row r="735" spans="1:13">
      <c r="F735" s="638" t="s">
        <v>625</v>
      </c>
      <c r="I735" s="1952">
        <f>'Part V-Utility Allowances'!I25</f>
        <v>0</v>
      </c>
      <c r="J735" s="1952"/>
      <c r="K735" s="1953" t="s">
        <v>532</v>
      </c>
      <c r="L735" s="1860">
        <f>'Part V-Utility Allowances'!L25</f>
        <v>0</v>
      </c>
      <c r="M735" s="1860"/>
    </row>
    <row r="737" spans="2:13">
      <c r="F737" s="1860" t="s">
        <v>599</v>
      </c>
      <c r="G737" s="1860"/>
      <c r="I737" s="1860" t="s">
        <v>198</v>
      </c>
      <c r="J737" s="1860"/>
      <c r="K737" s="1860"/>
      <c r="L737" s="1860"/>
      <c r="M737" s="1860"/>
    </row>
    <row r="738" spans="2:13">
      <c r="B738" s="638" t="s">
        <v>786</v>
      </c>
      <c r="D738" s="638" t="s">
        <v>1580</v>
      </c>
      <c r="F738" s="1953" t="s">
        <v>631</v>
      </c>
      <c r="G738" s="1953" t="s">
        <v>1825</v>
      </c>
      <c r="I738" s="1953" t="s">
        <v>558</v>
      </c>
      <c r="J738" s="1953">
        <v>1</v>
      </c>
      <c r="K738" s="1953">
        <v>2</v>
      </c>
      <c r="L738" s="1953">
        <v>3</v>
      </c>
      <c r="M738" s="1953">
        <v>4</v>
      </c>
    </row>
    <row r="739" spans="2:13">
      <c r="B739" s="638" t="s">
        <v>1827</v>
      </c>
      <c r="D739" s="1860" t="str">
        <f>'Part V-Utility Allowances'!D29</f>
        <v>&lt;&lt;Select Fuel &gt;&gt;</v>
      </c>
      <c r="E739" s="1860"/>
      <c r="F739" s="1954">
        <f>'Part V-Utility Allowances'!F29</f>
        <v>0</v>
      </c>
      <c r="G739" s="1954">
        <f>'Part V-Utility Allowances'!G29</f>
        <v>0</v>
      </c>
      <c r="I739" s="1953">
        <f>'Part V-Utility Allowances'!I29</f>
        <v>0</v>
      </c>
      <c r="J739" s="1953">
        <f>'Part V-Utility Allowances'!J29</f>
        <v>0</v>
      </c>
      <c r="K739" s="1953">
        <f>'Part V-Utility Allowances'!K29</f>
        <v>0</v>
      </c>
      <c r="L739" s="1953">
        <f>'Part V-Utility Allowances'!L29</f>
        <v>0</v>
      </c>
      <c r="M739" s="1953">
        <f>'Part V-Utility Allowances'!M29</f>
        <v>0</v>
      </c>
    </row>
    <row r="740" spans="2:13">
      <c r="B740" s="638" t="s">
        <v>1578</v>
      </c>
      <c r="D740" s="1860" t="str">
        <f>'Part V-Utility Allowances'!D30</f>
        <v>&lt;&lt;Select Fuel &gt;&gt;</v>
      </c>
      <c r="E740" s="1860"/>
      <c r="F740" s="1954">
        <f>'Part V-Utility Allowances'!F30</f>
        <v>0</v>
      </c>
      <c r="G740" s="1954">
        <f>'Part V-Utility Allowances'!G30</f>
        <v>0</v>
      </c>
      <c r="I740" s="1953">
        <f>'Part V-Utility Allowances'!I30</f>
        <v>0</v>
      </c>
      <c r="J740" s="1953">
        <f>'Part V-Utility Allowances'!J30</f>
        <v>0</v>
      </c>
      <c r="K740" s="1953">
        <f>'Part V-Utility Allowances'!K30</f>
        <v>0</v>
      </c>
      <c r="L740" s="1953">
        <f>'Part V-Utility Allowances'!L30</f>
        <v>0</v>
      </c>
      <c r="M740" s="1953">
        <f>'Part V-Utility Allowances'!M30</f>
        <v>0</v>
      </c>
    </row>
    <row r="741" spans="2:13">
      <c r="B741" s="638" t="s">
        <v>1579</v>
      </c>
      <c r="D741" s="1860" t="str">
        <f>'Part V-Utility Allowances'!D31</f>
        <v>&lt;&lt;Select Fuel &gt;&gt;</v>
      </c>
      <c r="E741" s="1860"/>
      <c r="F741" s="1954">
        <f>'Part V-Utility Allowances'!F31</f>
        <v>0</v>
      </c>
      <c r="G741" s="1954">
        <f>'Part V-Utility Allowances'!G31</f>
        <v>0</v>
      </c>
      <c r="I741" s="1953">
        <f>'Part V-Utility Allowances'!I31</f>
        <v>0</v>
      </c>
      <c r="J741" s="1953">
        <f>'Part V-Utility Allowances'!J31</f>
        <v>0</v>
      </c>
      <c r="K741" s="1953">
        <f>'Part V-Utility Allowances'!K31</f>
        <v>0</v>
      </c>
      <c r="L741" s="1953">
        <f>'Part V-Utility Allowances'!L31</f>
        <v>0</v>
      </c>
      <c r="M741" s="1953">
        <f>'Part V-Utility Allowances'!M31</f>
        <v>0</v>
      </c>
    </row>
    <row r="742" spans="2:13">
      <c r="B742" s="638" t="s">
        <v>463</v>
      </c>
      <c r="D742" s="638" t="s">
        <v>1577</v>
      </c>
      <c r="F742" s="1954">
        <f>'Part V-Utility Allowances'!F32</f>
        <v>0</v>
      </c>
      <c r="G742" s="1954">
        <f>'Part V-Utility Allowances'!G32</f>
        <v>0</v>
      </c>
      <c r="I742" s="1953">
        <f>'Part V-Utility Allowances'!I32</f>
        <v>0</v>
      </c>
      <c r="J742" s="1953">
        <f>'Part V-Utility Allowances'!J32</f>
        <v>0</v>
      </c>
      <c r="K742" s="1953">
        <f>'Part V-Utility Allowances'!K32</f>
        <v>0</v>
      </c>
      <c r="L742" s="1953">
        <f>'Part V-Utility Allowances'!L32</f>
        <v>0</v>
      </c>
      <c r="M742" s="1953">
        <f>'Part V-Utility Allowances'!M32</f>
        <v>0</v>
      </c>
    </row>
    <row r="743" spans="2:13">
      <c r="B743" s="638" t="s">
        <v>3686</v>
      </c>
      <c r="D743" s="638" t="s">
        <v>1577</v>
      </c>
      <c r="F743" s="1954">
        <f>'Part V-Utility Allowances'!F33</f>
        <v>0</v>
      </c>
      <c r="G743" s="1954">
        <f>'Part V-Utility Allowances'!G33</f>
        <v>0</v>
      </c>
      <c r="I743" s="1953">
        <f>'Part V-Utility Allowances'!I33</f>
        <v>0</v>
      </c>
      <c r="J743" s="1953">
        <f>'Part V-Utility Allowances'!J33</f>
        <v>0</v>
      </c>
      <c r="K743" s="1953">
        <f>'Part V-Utility Allowances'!K33</f>
        <v>0</v>
      </c>
      <c r="L743" s="1953">
        <f>'Part V-Utility Allowances'!L33</f>
        <v>0</v>
      </c>
      <c r="M743" s="1953">
        <f>'Part V-Utility Allowances'!M33</f>
        <v>0</v>
      </c>
    </row>
    <row r="744" spans="2:13">
      <c r="B744" s="638" t="s">
        <v>3687</v>
      </c>
      <c r="D744" s="638" t="s">
        <v>1577</v>
      </c>
      <c r="F744" s="1954">
        <f>'Part V-Utility Allowances'!F34</f>
        <v>0</v>
      </c>
      <c r="G744" s="1954">
        <f>'Part V-Utility Allowances'!G34</f>
        <v>0</v>
      </c>
      <c r="I744" s="1953">
        <f>'Part V-Utility Allowances'!I34</f>
        <v>0</v>
      </c>
      <c r="J744" s="1953">
        <f>'Part V-Utility Allowances'!J34</f>
        <v>0</v>
      </c>
      <c r="K744" s="1953">
        <f>'Part V-Utility Allowances'!K34</f>
        <v>0</v>
      </c>
      <c r="L744" s="1953">
        <f>'Part V-Utility Allowances'!L34</f>
        <v>0</v>
      </c>
      <c r="M744" s="1953">
        <f>'Part V-Utility Allowances'!M34</f>
        <v>0</v>
      </c>
    </row>
    <row r="745" spans="2:13">
      <c r="B745" s="638" t="s">
        <v>3688</v>
      </c>
      <c r="D745" s="638" t="s">
        <v>1577</v>
      </c>
      <c r="F745" s="1954">
        <f>'Part V-Utility Allowances'!F35</f>
        <v>0</v>
      </c>
      <c r="G745" s="1954">
        <f>'Part V-Utility Allowances'!G35</f>
        <v>0</v>
      </c>
      <c r="I745" s="1953">
        <f>'Part V-Utility Allowances'!I35</f>
        <v>0</v>
      </c>
      <c r="J745" s="1953">
        <f>'Part V-Utility Allowances'!J35</f>
        <v>0</v>
      </c>
      <c r="K745" s="1953">
        <f>'Part V-Utility Allowances'!K35</f>
        <v>0</v>
      </c>
      <c r="L745" s="1953">
        <f>'Part V-Utility Allowances'!L35</f>
        <v>0</v>
      </c>
      <c r="M745" s="1953">
        <f>'Part V-Utility Allowances'!M35</f>
        <v>0</v>
      </c>
    </row>
    <row r="746" spans="2:13">
      <c r="B746" s="638" t="s">
        <v>1355</v>
      </c>
      <c r="D746" s="638" t="s">
        <v>4271</v>
      </c>
      <c r="E746" s="1953" t="str">
        <f>'Part V-Utility Allowances'!E36</f>
        <v>&lt;Select&gt;</v>
      </c>
      <c r="F746" s="1954">
        <f>'Part V-Utility Allowances'!F36</f>
        <v>0</v>
      </c>
      <c r="G746" s="1954">
        <f>'Part V-Utility Allowances'!G36</f>
        <v>0</v>
      </c>
      <c r="I746" s="1953">
        <f>'Part V-Utility Allowances'!I36</f>
        <v>0</v>
      </c>
      <c r="J746" s="1953">
        <f>'Part V-Utility Allowances'!J36</f>
        <v>0</v>
      </c>
      <c r="K746" s="1953">
        <f>'Part V-Utility Allowances'!K36</f>
        <v>0</v>
      </c>
      <c r="L746" s="1953">
        <f>'Part V-Utility Allowances'!L36</f>
        <v>0</v>
      </c>
      <c r="M746" s="1953">
        <f>'Part V-Utility Allowances'!M36</f>
        <v>0</v>
      </c>
    </row>
    <row r="747" spans="2:13">
      <c r="B747" s="638" t="s">
        <v>1826</v>
      </c>
      <c r="F747" s="1954">
        <f>'Part V-Utility Allowances'!F37</f>
        <v>0</v>
      </c>
      <c r="G747" s="1954">
        <f>'Part V-Utility Allowances'!G37</f>
        <v>0</v>
      </c>
      <c r="I747" s="1953">
        <f>'Part V-Utility Allowances'!I37</f>
        <v>0</v>
      </c>
      <c r="J747" s="1953">
        <f>'Part V-Utility Allowances'!J37</f>
        <v>0</v>
      </c>
      <c r="K747" s="1953">
        <f>'Part V-Utility Allowances'!K37</f>
        <v>0</v>
      </c>
      <c r="L747" s="1953">
        <f>'Part V-Utility Allowances'!L37</f>
        <v>0</v>
      </c>
      <c r="M747" s="1953">
        <f>'Part V-Utility Allowances'!M37</f>
        <v>0</v>
      </c>
    </row>
    <row r="748" spans="2:13">
      <c r="B748" s="638" t="s">
        <v>730</v>
      </c>
      <c r="C748" s="457">
        <v>0</v>
      </c>
      <c r="D748" s="457"/>
      <c r="E748" s="457"/>
      <c r="F748" s="1954">
        <f>'Part V-Utility Allowances'!F38</f>
        <v>0</v>
      </c>
      <c r="G748" s="1954">
        <f>'Part V-Utility Allowances'!G38</f>
        <v>0</v>
      </c>
      <c r="I748" s="1953">
        <f>'Part V-Utility Allowances'!I38</f>
        <v>0</v>
      </c>
      <c r="J748" s="1953">
        <f>'Part V-Utility Allowances'!J38</f>
        <v>0</v>
      </c>
      <c r="K748" s="1953">
        <f>'Part V-Utility Allowances'!K38</f>
        <v>0</v>
      </c>
      <c r="L748" s="1953">
        <f>'Part V-Utility Allowances'!L38</f>
        <v>0</v>
      </c>
      <c r="M748" s="1953">
        <f>'Part V-Utility Allowances'!M38</f>
        <v>0</v>
      </c>
    </row>
    <row r="749" spans="2:13">
      <c r="B749" s="638" t="s">
        <v>1007</v>
      </c>
      <c r="F749" s="1953"/>
      <c r="G749" s="1953"/>
      <c r="I749" s="1953">
        <f>IF(SUM(I739:I748)=0,0,IF(OR($D739="&lt;&lt;Select Fuel &gt;&gt;",$D741="&lt;&lt;Select Fuel &gt;&gt;",$D742="&lt;&lt;Select Fuel &gt;&gt;"),"Select Fuel",IF($E746="&lt;Select&gt;","Submeter?",SUM(I739:I748))))</f>
        <v>0</v>
      </c>
      <c r="J749" s="1953">
        <f>IF(SUM(J739:J748)=0,0,IF(OR($D739="&lt;&lt;Select Fuel &gt;&gt;",$D741="&lt;&lt;Select Fuel &gt;&gt;",$D742="&lt;&lt;Select Fuel &gt;&gt;"),"Select Fuel",IF($E746="&lt;Select&gt;","Submeter?",SUM(J739:J748))))</f>
        <v>0</v>
      </c>
      <c r="K749" s="1953">
        <f>IF(SUM(K739:K748)=0,0,IF(OR($D739="&lt;&lt;Select Fuel &gt;&gt;",$D741="&lt;&lt;Select Fuel &gt;&gt;",$D742="&lt;&lt;Select Fuel &gt;&gt;"),"Select Fuel",IF($E746="&lt;Select&gt;","Submeter?",SUM(K739:K748))))</f>
        <v>0</v>
      </c>
      <c r="L749" s="1953">
        <f>IF(SUM(L739:L748)=0,0,IF(OR($D739="&lt;&lt;Select Fuel &gt;&gt;",$D741="&lt;&lt;Select Fuel &gt;&gt;",$D742="&lt;&lt;Select Fuel &gt;&gt;"),"Select Fuel",IF($E746="&lt;Select&gt;","Submeter?",SUM(L739:L748))))</f>
        <v>0</v>
      </c>
      <c r="M749" s="1953">
        <f>IF(SUM(M739:M748)=0,0,IF(OR($D739="&lt;&lt;Select Fuel &gt;&gt;",$D741="&lt;&lt;Select Fuel &gt;&gt;",$D742="&lt;&lt;Select Fuel &gt;&gt;"),"Select Fuel",IF($E746="&lt;Select&gt;","Submeter?",SUM(M739:M748))))</f>
        <v>0</v>
      </c>
    </row>
    <row r="751" spans="2:13">
      <c r="B751" s="1051" t="s">
        <v>4272</v>
      </c>
      <c r="F751" s="1953"/>
      <c r="G751" s="1953"/>
      <c r="I751" s="1953"/>
      <c r="J751" s="1953"/>
      <c r="K751" s="1953"/>
      <c r="L751" s="1953"/>
      <c r="M751" s="1953"/>
    </row>
    <row r="752" spans="2:13">
      <c r="B752" s="638" t="s">
        <v>562</v>
      </c>
    </row>
    <row r="753" spans="1:357" ht="364.8">
      <c r="B753" s="1202" t="str">
        <f>'Part V-Utility Allowances'!B43</f>
        <v xml:space="preserve">The applicant is utilizing the Atlanta Housing Authority's utility allowance included in Tab 01 - Feasibility.  The project is new construction and will be sub-metered.  The owner is providing the range, microwave, and refrigerator in all units.  The owner will also pay for refuse collection. The effective date of the utility allowance is July 1, 2018 and referenced on the utility allowance schedule. </v>
      </c>
      <c r="C753" s="1202"/>
      <c r="D753" s="1202"/>
      <c r="E753" s="1202"/>
      <c r="F753" s="1202"/>
      <c r="G753" s="1202"/>
      <c r="H753" s="1202"/>
      <c r="I753" s="1202"/>
      <c r="J753" s="1202"/>
      <c r="K753" s="1202"/>
      <c r="L753" s="1202"/>
      <c r="M753" s="1202"/>
    </row>
    <row r="755" spans="1:357">
      <c r="B755" s="638" t="s">
        <v>1820</v>
      </c>
    </row>
    <row r="756" spans="1:357">
      <c r="B756" s="1202">
        <f>'Part V-Utility Allowances'!B46</f>
        <v>0</v>
      </c>
      <c r="C756" s="1202"/>
      <c r="D756" s="1202"/>
      <c r="E756" s="1202"/>
      <c r="F756" s="1202"/>
      <c r="G756" s="1202"/>
      <c r="H756" s="1202"/>
      <c r="I756" s="1202"/>
      <c r="J756" s="1202"/>
      <c r="K756" s="1202"/>
      <c r="L756" s="1202"/>
      <c r="M756" s="1202"/>
    </row>
    <row r="763" spans="1:357">
      <c r="A763" s="1311" t="str">
        <f>CONCATENATE("PART SIX - PROJECTED REVENUES &amp; EXPENSES","  -  ",'Part I-Project Information'!$O$6," ",'Part I-Project Information'!$F$34,", ",'Part I-Project Information'!F800,", ",'Part I-Project Information'!J801," County")</f>
        <v>PART SIX - PROJECTED REVENUES &amp; EXPENSES  -  2019-063 Haven at South Atlanta, ,  County</v>
      </c>
      <c r="B763" s="1311"/>
      <c r="C763" s="1311"/>
      <c r="D763" s="1311"/>
      <c r="E763" s="1311"/>
      <c r="F763" s="1311"/>
      <c r="G763" s="1311"/>
      <c r="H763" s="1311"/>
      <c r="I763" s="1311"/>
      <c r="J763" s="1311"/>
      <c r="K763" s="1311"/>
      <c r="L763" s="1311"/>
      <c r="M763" s="1311"/>
      <c r="N763" s="1311"/>
      <c r="O763" s="1311"/>
      <c r="P763" s="1311"/>
      <c r="Q763" s="1311"/>
      <c r="R763" s="1311"/>
      <c r="S763" s="1311"/>
      <c r="T763" s="1311"/>
      <c r="U763" s="1311" t="str">
        <f>A763</f>
        <v>PART SIX - PROJECTED REVENUES &amp; EXPENSES  -  2019-063 Haven at South Atlanta, ,  County</v>
      </c>
      <c r="V763" s="1311"/>
      <c r="W763" s="1311"/>
      <c r="X763" s="1311"/>
      <c r="Y763" s="1311"/>
      <c r="Z763" s="1311"/>
      <c r="AA763" s="1311"/>
      <c r="AB763" s="1311"/>
      <c r="AC763" s="1311"/>
      <c r="AD763" s="1311"/>
      <c r="AE763" s="1311"/>
      <c r="AF763" s="1311"/>
      <c r="AG763" s="1311"/>
      <c r="AH763" s="1311"/>
      <c r="AI763" s="1311"/>
      <c r="AJ763" s="1311"/>
      <c r="AK763" s="1311"/>
      <c r="AL763" s="1311"/>
      <c r="AM763" s="1311"/>
      <c r="AN763" s="1311"/>
      <c r="AO763" s="1311"/>
      <c r="AP763" s="1311"/>
      <c r="AQ763" s="1311"/>
      <c r="AR763" s="1311"/>
      <c r="AS763" s="1311"/>
      <c r="AT763" s="1311"/>
      <c r="AU763" s="1311"/>
      <c r="AV763" s="1311"/>
      <c r="AW763" s="1311"/>
      <c r="AX763" s="1311"/>
      <c r="AY763" s="1311"/>
      <c r="AZ763" s="1311"/>
      <c r="BA763" s="1311"/>
      <c r="BB763" s="1311"/>
      <c r="BC763" s="1311"/>
      <c r="BD763" s="1311"/>
      <c r="BE763" s="1311"/>
      <c r="BF763" s="1311"/>
      <c r="BG763" s="1311"/>
      <c r="BH763" s="1311"/>
      <c r="BI763" s="1311"/>
      <c r="BJ763" s="1311"/>
      <c r="BK763" s="1311"/>
      <c r="BL763" s="1311"/>
      <c r="BM763" s="1311"/>
      <c r="BN763" s="1311"/>
      <c r="BO763" s="1311"/>
      <c r="BP763" s="1311"/>
      <c r="BQ763" s="1311"/>
      <c r="BR763" s="1311"/>
      <c r="BS763" s="1311"/>
      <c r="BT763" s="1311"/>
      <c r="BU763" s="1311"/>
      <c r="BV763" s="1311"/>
      <c r="BW763" s="1311"/>
      <c r="BX763" s="1311"/>
      <c r="BY763" s="1311"/>
      <c r="BZ763" s="1311"/>
      <c r="CA763" s="1311"/>
      <c r="CB763" s="1311"/>
      <c r="CC763" s="1311"/>
      <c r="CD763" s="1311"/>
      <c r="CE763" s="1311"/>
      <c r="CF763" s="1311"/>
      <c r="CG763" s="1311"/>
      <c r="CH763" s="1311"/>
      <c r="CI763" s="1311"/>
      <c r="CJ763" s="1311"/>
      <c r="CK763" s="1311"/>
      <c r="CL763" s="1311"/>
      <c r="CM763" s="1311"/>
      <c r="CN763" s="1311"/>
      <c r="CO763" s="1311"/>
      <c r="CP763" s="1311"/>
      <c r="CQ763" s="1311"/>
      <c r="CR763" s="1311"/>
      <c r="CS763" s="1311"/>
      <c r="CT763" s="1311"/>
      <c r="CU763" s="1311"/>
      <c r="CV763" s="1311"/>
      <c r="CW763" s="1311"/>
      <c r="CX763" s="1311"/>
      <c r="CY763" s="1311"/>
      <c r="CZ763" s="1311"/>
      <c r="DA763" s="1311"/>
      <c r="DB763" s="1311"/>
      <c r="DC763" s="1311"/>
      <c r="DD763" s="1311"/>
      <c r="DE763" s="1311"/>
      <c r="DF763" s="1311"/>
      <c r="DG763" s="1311"/>
      <c r="DH763" s="1311"/>
      <c r="DI763" s="1311"/>
      <c r="DJ763" s="1311"/>
      <c r="DK763" s="1311"/>
      <c r="DL763" s="1311"/>
      <c r="DM763" s="1311"/>
      <c r="DN763" s="1311"/>
      <c r="DO763" s="1311"/>
      <c r="DP763" s="1311"/>
      <c r="DQ763" s="1311"/>
      <c r="DR763" s="1311"/>
      <c r="DS763" s="1311"/>
      <c r="DT763" s="1311"/>
      <c r="DU763" s="1311"/>
      <c r="DV763" s="1311"/>
      <c r="DW763" s="1311"/>
      <c r="DX763" s="1311"/>
      <c r="DY763" s="1311"/>
      <c r="DZ763" s="1311"/>
      <c r="EA763" s="1311"/>
      <c r="EB763" s="1311"/>
      <c r="EC763" s="1311"/>
      <c r="ED763" s="1311"/>
      <c r="EE763" s="1311"/>
      <c r="EF763" s="1311"/>
      <c r="EG763" s="1311"/>
      <c r="EH763" s="1311"/>
      <c r="EI763" s="1311"/>
      <c r="EJ763" s="1311"/>
      <c r="EK763" s="1311"/>
      <c r="EL763" s="1311"/>
      <c r="EM763" s="1311"/>
      <c r="EN763" s="1311"/>
      <c r="EO763" s="1311"/>
      <c r="EP763" s="1311"/>
      <c r="EQ763" s="1311"/>
      <c r="ER763" s="1311"/>
      <c r="ES763" s="1311"/>
      <c r="ET763" s="1311"/>
      <c r="EU763" s="1311"/>
      <c r="EV763" s="1311"/>
      <c r="EW763" s="1311"/>
      <c r="EX763" s="1311"/>
      <c r="EY763" s="1311"/>
      <c r="EZ763" s="1311"/>
      <c r="FA763" s="1311"/>
      <c r="FB763" s="1311"/>
      <c r="FC763" s="1311"/>
      <c r="FD763" s="1311"/>
      <c r="FE763" s="1311"/>
      <c r="FF763" s="1311"/>
      <c r="FG763" s="1311"/>
      <c r="FH763" s="1311"/>
      <c r="FI763" s="1311"/>
      <c r="FJ763" s="1311"/>
      <c r="FK763" s="1311"/>
      <c r="FL763" s="1311"/>
      <c r="FM763" s="1311"/>
      <c r="FN763" s="1311"/>
      <c r="FO763" s="1311"/>
      <c r="FP763" s="1311"/>
      <c r="FQ763" s="1311"/>
      <c r="FR763" s="1311"/>
      <c r="FS763" s="1311"/>
      <c r="FT763" s="1311"/>
      <c r="FU763" s="1311"/>
      <c r="FV763" s="1311"/>
      <c r="FW763" s="1311"/>
      <c r="FX763" s="1311"/>
      <c r="FY763" s="1311"/>
      <c r="FZ763" s="1311"/>
      <c r="GA763" s="1311"/>
      <c r="GB763" s="1311"/>
      <c r="GC763" s="1311"/>
      <c r="GD763" s="1311"/>
      <c r="GE763" s="1311"/>
      <c r="GF763" s="1311"/>
      <c r="GG763" s="1311"/>
      <c r="GH763" s="1311"/>
      <c r="GI763" s="1311"/>
      <c r="GJ763" s="1311"/>
      <c r="GK763" s="1311"/>
      <c r="GL763" s="1311"/>
      <c r="GM763" s="1311"/>
      <c r="GN763" s="1311"/>
      <c r="GO763" s="1311"/>
      <c r="GP763" s="1311"/>
      <c r="GQ763" s="1311"/>
      <c r="GR763" s="1311"/>
      <c r="GS763" s="1311"/>
      <c r="GT763" s="1311"/>
      <c r="GU763" s="1311"/>
      <c r="GV763" s="1311"/>
      <c r="GW763" s="1311"/>
      <c r="GX763" s="1311"/>
      <c r="GY763" s="1311"/>
      <c r="GZ763" s="1311"/>
      <c r="HA763" s="1311"/>
      <c r="HB763" s="1311"/>
      <c r="HC763" s="1311"/>
      <c r="HD763" s="1311"/>
      <c r="HE763" s="1311"/>
      <c r="HF763" s="1311"/>
      <c r="HG763" s="1311"/>
      <c r="HH763" s="1311"/>
      <c r="HI763" s="1311"/>
      <c r="HJ763" s="1311"/>
      <c r="HK763" s="1311"/>
      <c r="HL763" s="1311"/>
      <c r="HM763" s="1311"/>
      <c r="HN763" s="1311"/>
      <c r="HO763" s="1311"/>
      <c r="HP763" s="1311"/>
      <c r="HQ763" s="1311"/>
      <c r="HR763" s="1311"/>
      <c r="HS763" s="1311"/>
      <c r="HT763" s="1311"/>
      <c r="HU763" s="1311"/>
      <c r="HV763" s="1311"/>
      <c r="HW763" s="1955"/>
      <c r="HX763" s="1955"/>
      <c r="HY763" s="1955"/>
      <c r="HZ763" s="1955"/>
      <c r="IA763" s="1955"/>
      <c r="IB763" s="1955"/>
      <c r="IC763" s="1955"/>
      <c r="ID763" s="1955"/>
      <c r="IE763" s="1955"/>
      <c r="IF763" s="1955"/>
      <c r="IG763" s="1955"/>
      <c r="IH763" s="1955"/>
      <c r="II763" s="1955"/>
      <c r="IJ763" s="1955"/>
      <c r="IK763" s="1955"/>
      <c r="IL763" s="1955"/>
      <c r="IM763" s="1955"/>
      <c r="IN763" s="1955"/>
      <c r="IO763" s="1955"/>
      <c r="IP763" s="1955"/>
      <c r="IQ763" s="1955"/>
      <c r="IR763" s="1955"/>
      <c r="IS763" s="1955"/>
      <c r="IT763" s="1955"/>
      <c r="IU763" s="1955"/>
      <c r="IV763" s="1955"/>
      <c r="IW763" s="1955"/>
      <c r="IX763" s="1955"/>
      <c r="IY763" s="1955"/>
      <c r="IZ763" s="1955"/>
      <c r="JA763" s="1955"/>
      <c r="JB763" s="1955"/>
      <c r="JC763" s="1955"/>
      <c r="JD763" s="1955"/>
      <c r="JE763" s="1955"/>
      <c r="JF763" s="1955"/>
      <c r="JG763" s="1955"/>
      <c r="JH763" s="1955"/>
      <c r="JI763" s="1955"/>
      <c r="JJ763" s="1955"/>
      <c r="JK763" s="1955"/>
      <c r="JL763" s="1955"/>
      <c r="JM763" s="1955"/>
      <c r="JN763" s="1955"/>
      <c r="JO763" s="1955"/>
      <c r="JP763" s="1955"/>
      <c r="JQ763" s="1955"/>
      <c r="JR763" s="1955"/>
      <c r="JS763" s="1955"/>
      <c r="JT763" s="1955"/>
      <c r="JU763" s="1955"/>
      <c r="JV763" s="1955"/>
      <c r="JW763" s="1955"/>
      <c r="JX763" s="1955"/>
      <c r="JY763" s="1955"/>
      <c r="JZ763" s="1955"/>
      <c r="KA763" s="1955"/>
      <c r="KB763" s="1955"/>
      <c r="KC763" s="1955"/>
      <c r="KD763" s="1955"/>
      <c r="KE763" s="1955"/>
      <c r="KF763" s="1955"/>
      <c r="KG763" s="1955"/>
      <c r="KH763" s="1955"/>
      <c r="KI763" s="1955"/>
      <c r="KJ763" s="1955"/>
      <c r="KK763" s="1955"/>
      <c r="KL763" s="1955"/>
      <c r="KM763" s="1955"/>
      <c r="KN763" s="1955"/>
      <c r="KO763" s="1311"/>
      <c r="KP763" s="1311"/>
      <c r="KQ763" s="1955"/>
      <c r="KR763" s="1955"/>
      <c r="KS763" s="1955"/>
      <c r="KT763" s="1311"/>
      <c r="KU763" s="1311"/>
      <c r="KV763" s="1311"/>
      <c r="KW763" s="1311"/>
      <c r="KX763" s="1311"/>
      <c r="KY763" s="1311"/>
      <c r="KZ763" s="1311"/>
      <c r="LA763" s="1311"/>
      <c r="LB763" s="1311"/>
      <c r="LC763" s="1311"/>
      <c r="LD763" s="1311"/>
      <c r="LE763" s="1311"/>
      <c r="LF763" s="1311"/>
      <c r="LG763" s="1311"/>
      <c r="LH763" s="1311"/>
      <c r="LI763" s="1311"/>
      <c r="LJ763" s="1311"/>
      <c r="LK763" s="1311"/>
      <c r="LL763" s="1311"/>
      <c r="LM763" s="1311"/>
      <c r="LN763" s="1311"/>
      <c r="LO763" s="1311"/>
      <c r="LP763" s="1311"/>
      <c r="LQ763" s="1311"/>
      <c r="LR763" s="1311"/>
      <c r="LS763" s="1311"/>
      <c r="LT763" s="1311"/>
      <c r="LU763" s="1311"/>
      <c r="LV763" s="1311"/>
      <c r="LW763" s="1311"/>
      <c r="LX763" s="1311"/>
      <c r="LY763" s="1311"/>
      <c r="LZ763" s="1311"/>
      <c r="MA763" s="1311"/>
      <c r="MB763" s="1311"/>
      <c r="MC763" s="1311"/>
      <c r="MD763" s="1311"/>
      <c r="ME763" s="1311"/>
      <c r="MF763" s="1311"/>
      <c r="MG763" s="1311"/>
      <c r="MH763" s="1311"/>
      <c r="MI763" s="1311"/>
      <c r="MJ763" s="1311"/>
      <c r="MK763" s="1311"/>
      <c r="ML763" s="1311"/>
      <c r="MM763" s="1311"/>
      <c r="MN763" s="1311"/>
      <c r="MO763" s="1311"/>
      <c r="MP763" s="1311"/>
      <c r="MQ763" s="1311"/>
      <c r="MR763" s="1311"/>
      <c r="MS763" s="1311"/>
    </row>
    <row r="764" spans="1:357">
      <c r="W764" s="1203"/>
      <c r="X764" s="1203"/>
      <c r="Y764" s="1203"/>
      <c r="Z764" s="1203"/>
      <c r="AA764" s="1203"/>
      <c r="AB764" s="1203"/>
      <c r="AC764" s="1203"/>
      <c r="AD764" s="1203"/>
      <c r="AE764" s="1203"/>
      <c r="AF764" s="1203"/>
      <c r="AG764" s="1203"/>
      <c r="AH764" s="1203"/>
      <c r="AI764" s="1203"/>
      <c r="AJ764" s="1203"/>
      <c r="AK764" s="1203"/>
      <c r="AL764" s="1203"/>
      <c r="AM764" s="1203"/>
      <c r="AN764" s="1203"/>
      <c r="AO764" s="1203"/>
      <c r="AP764" s="1203"/>
      <c r="AQ764" s="1203"/>
      <c r="AR764" s="1203"/>
      <c r="AS764" s="1203"/>
      <c r="AT764" s="1203"/>
      <c r="AU764" s="1203"/>
      <c r="AV764" s="1203"/>
      <c r="AW764" s="1203"/>
      <c r="AX764" s="1203"/>
      <c r="AY764" s="1203"/>
      <c r="AZ764" s="1203"/>
      <c r="BA764" s="1203"/>
      <c r="BB764" s="1203"/>
      <c r="BC764" s="1203"/>
      <c r="BD764" s="1203"/>
      <c r="BE764" s="1203"/>
      <c r="BF764" s="1203"/>
      <c r="BG764" s="1203"/>
      <c r="BH764" s="1203"/>
      <c r="BI764" s="1203"/>
      <c r="BJ764" s="1203"/>
      <c r="BK764" s="1203"/>
      <c r="BL764" s="1203"/>
      <c r="BM764" s="1203"/>
      <c r="BN764" s="1203"/>
      <c r="BO764" s="1203"/>
      <c r="BP764" s="1203"/>
      <c r="BQ764" s="1203"/>
      <c r="BR764" s="1203"/>
      <c r="BS764" s="1203"/>
      <c r="BT764" s="1203"/>
      <c r="BU764" s="1203"/>
      <c r="BV764" s="1203"/>
      <c r="BW764" s="1203"/>
      <c r="BX764" s="1203"/>
      <c r="BY764" s="1203"/>
      <c r="BZ764" s="1203"/>
      <c r="CA764" s="1203"/>
      <c r="CB764" s="1203"/>
      <c r="CC764" s="1203"/>
      <c r="CD764" s="1203"/>
      <c r="CE764" s="1203"/>
      <c r="CF764" s="1203"/>
      <c r="CG764" s="1203"/>
      <c r="CH764" s="1203"/>
      <c r="CI764" s="1203"/>
      <c r="CJ764" s="1203"/>
      <c r="CK764" s="1203"/>
      <c r="CL764" s="1203"/>
      <c r="CM764" s="1203"/>
      <c r="CN764" s="1203"/>
      <c r="CO764" s="1203"/>
      <c r="CP764" s="1203"/>
      <c r="CQ764" s="1203"/>
      <c r="CR764" s="1203"/>
      <c r="CS764" s="1203"/>
      <c r="CT764" s="1203"/>
      <c r="CU764" s="1203"/>
      <c r="CV764" s="1203"/>
      <c r="CW764" s="1203"/>
      <c r="CX764" s="1203"/>
      <c r="CY764" s="1203"/>
      <c r="CZ764" s="1203"/>
      <c r="DA764" s="1203"/>
      <c r="DB764" s="1203"/>
      <c r="DC764" s="1203"/>
      <c r="DD764" s="1203"/>
      <c r="DE764" s="1203"/>
      <c r="DF764" s="1203"/>
      <c r="DG764" s="1203"/>
      <c r="DH764" s="1203"/>
      <c r="DI764" s="1203"/>
      <c r="DJ764" s="1203"/>
      <c r="DK764" s="1203"/>
      <c r="DL764" s="1203"/>
      <c r="DM764" s="1203"/>
      <c r="DN764" s="1203"/>
      <c r="DO764" s="1203"/>
      <c r="DP764" s="1203"/>
      <c r="DQ764" s="1203"/>
      <c r="DR764" s="1203"/>
      <c r="DS764" s="1203"/>
      <c r="DT764" s="1203"/>
      <c r="DU764" s="1203"/>
      <c r="DV764" s="1203"/>
      <c r="DW764" s="1203"/>
      <c r="DX764" s="1203"/>
      <c r="DY764" s="1203"/>
      <c r="DZ764" s="1203"/>
      <c r="EA764" s="1203"/>
      <c r="EB764" s="1203"/>
      <c r="EC764" s="1203"/>
      <c r="ED764" s="1203"/>
      <c r="EE764" s="1203"/>
      <c r="EF764" s="1203"/>
      <c r="EG764" s="1203"/>
      <c r="EH764" s="1203"/>
      <c r="EI764" s="1203"/>
      <c r="EJ764" s="1203"/>
      <c r="EK764" s="1203"/>
      <c r="EL764" s="1203"/>
      <c r="EM764" s="1203"/>
      <c r="EN764" s="1203"/>
      <c r="EO764" s="1203"/>
      <c r="EP764" s="1203"/>
      <c r="EQ764" s="1203"/>
      <c r="ER764" s="1203"/>
      <c r="ES764" s="1203"/>
      <c r="ET764" s="1203"/>
      <c r="EU764" s="1203"/>
      <c r="EV764" s="1203"/>
      <c r="EW764" s="1203"/>
      <c r="EX764" s="1203"/>
      <c r="EY764" s="1203"/>
      <c r="EZ764" s="1203"/>
      <c r="FA764" s="1203"/>
      <c r="FB764" s="1203"/>
      <c r="FC764" s="1203"/>
      <c r="FD764" s="1203"/>
      <c r="FE764" s="1203"/>
      <c r="FF764" s="1203"/>
      <c r="FG764" s="1203"/>
      <c r="FH764" s="1203"/>
      <c r="FI764" s="1203"/>
      <c r="FJ764" s="1203"/>
      <c r="FK764" s="1203"/>
      <c r="FL764" s="1203"/>
      <c r="FM764" s="1203"/>
      <c r="FN764" s="1203"/>
      <c r="FO764" s="1203"/>
      <c r="FP764" s="1203"/>
      <c r="FQ764" s="1203"/>
      <c r="FR764" s="1203"/>
      <c r="FS764" s="1203"/>
      <c r="FT764" s="1203"/>
      <c r="FU764" s="1203"/>
      <c r="FV764" s="1203"/>
      <c r="FW764" s="1203"/>
      <c r="FX764" s="1203"/>
      <c r="FY764" s="1203"/>
      <c r="FZ764" s="1203"/>
      <c r="GA764" s="1203"/>
      <c r="GB764" s="1203"/>
      <c r="GC764" s="1203"/>
      <c r="GD764" s="1203"/>
      <c r="GE764" s="1203"/>
      <c r="GF764" s="1203"/>
      <c r="GG764" s="1203"/>
      <c r="GH764" s="1203"/>
      <c r="GI764" s="1203"/>
      <c r="GJ764" s="1203"/>
      <c r="GK764" s="1203"/>
      <c r="GL764" s="1203"/>
      <c r="GM764" s="1203"/>
      <c r="GN764" s="1203"/>
      <c r="GO764" s="1203"/>
      <c r="GP764" s="1203"/>
      <c r="GQ764" s="1203"/>
      <c r="GR764" s="1203"/>
      <c r="GS764" s="1203"/>
      <c r="GT764" s="1203"/>
      <c r="GU764" s="1203"/>
      <c r="GV764" s="1203"/>
      <c r="GW764" s="1203"/>
      <c r="GX764" s="1203"/>
      <c r="GY764" s="1203"/>
      <c r="GZ764" s="1203"/>
      <c r="HA764" s="1203"/>
      <c r="HB764" s="1203"/>
      <c r="HC764" s="1203"/>
      <c r="HD764" s="1203"/>
      <c r="HE764" s="1203"/>
      <c r="HF764" s="1203"/>
      <c r="HG764" s="1203"/>
      <c r="HH764" s="1203"/>
      <c r="HI764" s="1203"/>
      <c r="HJ764" s="1203"/>
      <c r="HK764" s="1203"/>
      <c r="HL764" s="1203"/>
      <c r="HM764" s="1203"/>
      <c r="HN764" s="1203"/>
      <c r="HO764" s="1203"/>
      <c r="HP764" s="1203"/>
      <c r="HQ764" s="1203"/>
      <c r="HR764" s="1203"/>
      <c r="HS764" s="1203"/>
      <c r="HT764" s="1203"/>
      <c r="HU764" s="1203"/>
      <c r="HV764" s="1203"/>
      <c r="HW764" s="1203"/>
      <c r="HX764" s="1203"/>
      <c r="HY764" s="1956"/>
      <c r="HZ764" s="1956"/>
      <c r="IA764" s="1956"/>
      <c r="IB764" s="1956"/>
      <c r="IC764" s="1956"/>
      <c r="ID764" s="1956"/>
      <c r="IE764" s="1956"/>
      <c r="IF764" s="1956"/>
      <c r="IG764" s="1956"/>
      <c r="IH764" s="1956"/>
      <c r="II764" s="1956"/>
      <c r="IJ764" s="1956"/>
      <c r="IK764" s="1956"/>
      <c r="IL764" s="1956"/>
      <c r="IM764" s="1956"/>
      <c r="IN764" s="1956"/>
      <c r="IO764" s="1956"/>
      <c r="IP764" s="1956"/>
      <c r="IQ764" s="1956"/>
      <c r="IR764" s="1956"/>
      <c r="IS764" s="1956"/>
      <c r="IT764" s="1956"/>
      <c r="IU764" s="1956"/>
      <c r="IV764" s="1956"/>
      <c r="IW764" s="1956"/>
      <c r="IX764" s="1956"/>
      <c r="IY764" s="1956"/>
      <c r="IZ764" s="1956"/>
      <c r="JA764" s="1956"/>
      <c r="JB764" s="1956"/>
      <c r="JC764" s="1956"/>
      <c r="JD764" s="1956"/>
      <c r="JE764" s="1956"/>
      <c r="JF764" s="1956"/>
      <c r="JG764" s="1956"/>
      <c r="JH764" s="1956"/>
      <c r="JI764" s="1956"/>
      <c r="JJ764" s="1956"/>
      <c r="JK764" s="1956"/>
      <c r="JL764" s="1956"/>
      <c r="JM764" s="1956"/>
      <c r="JN764" s="1956"/>
      <c r="JO764" s="1956"/>
      <c r="JP764" s="1956"/>
      <c r="JQ764" s="1956"/>
      <c r="JR764" s="1956"/>
      <c r="JS764" s="1956"/>
      <c r="JT764" s="1956"/>
      <c r="JU764" s="1956"/>
      <c r="JV764" s="1956"/>
      <c r="JW764" s="1956"/>
      <c r="JX764" s="1956"/>
      <c r="JY764" s="1956"/>
      <c r="JZ764" s="1956"/>
      <c r="KA764" s="1956"/>
      <c r="KB764" s="1956"/>
      <c r="KC764" s="1956"/>
      <c r="KD764" s="1956"/>
      <c r="KE764" s="1956"/>
      <c r="KF764" s="1956"/>
      <c r="KG764" s="1956"/>
      <c r="KH764" s="1956"/>
      <c r="KI764" s="1956"/>
      <c r="KJ764" s="1956"/>
      <c r="KK764" s="1956"/>
      <c r="KL764" s="1956"/>
      <c r="KM764" s="1956"/>
      <c r="KN764" s="1956"/>
      <c r="KO764" s="1956"/>
      <c r="KP764" s="1956"/>
      <c r="KQ764" s="1956"/>
      <c r="KR764" s="1956"/>
      <c r="KS764" s="1956"/>
      <c r="KT764" s="1956"/>
      <c r="KU764" s="1956"/>
      <c r="KV764" s="1203"/>
      <c r="KW764" s="1203"/>
      <c r="KX764" s="1203"/>
      <c r="KY764" s="1203"/>
      <c r="KZ764" s="1203"/>
      <c r="LA764" s="1203"/>
      <c r="LB764" s="1203"/>
      <c r="LC764" s="1203"/>
      <c r="LD764" s="1203"/>
      <c r="LE764" s="1203"/>
      <c r="LK764" s="1203"/>
      <c r="LL764" s="1203"/>
      <c r="LM764" s="1203"/>
      <c r="LN764" s="1203"/>
      <c r="LO764" s="1203"/>
      <c r="LP764" s="1203"/>
      <c r="LQ764" s="1203"/>
      <c r="LR764" s="1203"/>
      <c r="LS764" s="1203"/>
      <c r="LT764" s="1203"/>
      <c r="LU764" s="1203"/>
      <c r="LV764" s="1203"/>
      <c r="LW764" s="1203"/>
      <c r="LX764" s="1203"/>
      <c r="LY764" s="1203"/>
      <c r="LZ764" s="1203"/>
      <c r="MA764" s="1203"/>
      <c r="MB764" s="1203"/>
      <c r="MC764" s="1203"/>
      <c r="MD764" s="1203"/>
    </row>
    <row r="765" spans="1:357" ht="12.75" customHeight="1">
      <c r="A765" s="1311" t="s">
        <v>605</v>
      </c>
      <c r="B765" s="1311" t="s">
        <v>2337</v>
      </c>
      <c r="C765" s="1311"/>
      <c r="D765" s="1786" t="s">
        <v>3498</v>
      </c>
      <c r="E765" s="1311"/>
      <c r="F765" s="1311"/>
      <c r="G765" s="1311"/>
      <c r="H765" s="1311"/>
      <c r="I765" s="1311"/>
      <c r="J765" s="1311"/>
      <c r="K765" s="1311"/>
      <c r="L765" s="1311"/>
      <c r="M765" s="1311"/>
      <c r="N765" s="1311"/>
      <c r="O765" s="1311"/>
      <c r="P765" s="1311"/>
      <c r="Q765" s="1311"/>
      <c r="R765" s="1311"/>
      <c r="S765" s="1311"/>
      <c r="T765" s="1311"/>
      <c r="U765" s="1311" t="str">
        <f>B765</f>
        <v>RENT SCHEDULE</v>
      </c>
      <c r="V765" s="1311"/>
      <c r="W765" s="1957"/>
      <c r="X765" s="1957"/>
      <c r="Y765" s="1957"/>
      <c r="Z765" s="1957"/>
      <c r="AA765" s="1957"/>
      <c r="AB765" s="1957"/>
      <c r="AC765" s="1957"/>
      <c r="AD765" s="1957"/>
      <c r="AE765" s="1957"/>
      <c r="AF765" s="1957"/>
      <c r="AG765" s="1957"/>
      <c r="AH765" s="1957"/>
      <c r="AI765" s="1957"/>
      <c r="AJ765" s="1957"/>
      <c r="AK765" s="1957"/>
      <c r="AL765" s="1957"/>
      <c r="AM765" s="1957"/>
      <c r="AN765" s="1957"/>
      <c r="AO765" s="1957"/>
      <c r="AP765" s="1957"/>
      <c r="AQ765" s="1957"/>
      <c r="AR765" s="1957"/>
      <c r="AS765" s="1957"/>
      <c r="AT765" s="1957"/>
      <c r="AU765" s="1957"/>
      <c r="AV765" s="1957"/>
      <c r="AW765" s="1957"/>
      <c r="AX765" s="1957"/>
      <c r="AY765" s="1957"/>
      <c r="AZ765" s="1957"/>
      <c r="BA765" s="1957"/>
      <c r="BB765" s="1957"/>
      <c r="BC765" s="1957"/>
      <c r="BD765" s="1957"/>
      <c r="BE765" s="1957"/>
      <c r="BF765" s="1957"/>
      <c r="BG765" s="1957"/>
      <c r="BH765" s="1957"/>
      <c r="BI765" s="1957"/>
      <c r="BJ765" s="1957"/>
      <c r="BK765" s="1957"/>
      <c r="BL765" s="1957"/>
      <c r="BM765" s="1957"/>
      <c r="BN765" s="1957"/>
      <c r="BO765" s="1957"/>
      <c r="BP765" s="1957"/>
      <c r="BQ765" s="1957"/>
      <c r="BR765" s="1957"/>
      <c r="BS765" s="1957"/>
      <c r="BT765" s="1957"/>
      <c r="BU765" s="1957"/>
      <c r="BV765" s="1957"/>
      <c r="BW765" s="1957"/>
      <c r="BX765" s="1957"/>
      <c r="BY765" s="1957"/>
      <c r="BZ765" s="1957"/>
      <c r="CA765" s="1957"/>
      <c r="CB765" s="1957"/>
      <c r="CC765" s="1957"/>
      <c r="CD765" s="1957"/>
      <c r="CE765" s="1957"/>
      <c r="CF765" s="1957"/>
      <c r="CG765" s="1957"/>
      <c r="CH765" s="1957"/>
      <c r="CI765" s="1957"/>
      <c r="CJ765" s="1957"/>
      <c r="CK765" s="1957"/>
      <c r="CL765" s="1957"/>
      <c r="CM765" s="1957"/>
      <c r="CN765" s="1957"/>
      <c r="CO765" s="1957"/>
      <c r="CP765" s="1957"/>
      <c r="CQ765" s="1957"/>
      <c r="CR765" s="1957"/>
      <c r="CS765" s="1957"/>
      <c r="CT765" s="1957"/>
      <c r="CU765" s="1957"/>
      <c r="CV765" s="1957"/>
      <c r="CW765" s="1957"/>
      <c r="CX765" s="1957"/>
      <c r="CY765" s="1957"/>
      <c r="CZ765" s="1957"/>
      <c r="DA765" s="1957"/>
      <c r="DB765" s="1957"/>
      <c r="DC765" s="1957"/>
      <c r="DD765" s="1957"/>
      <c r="DE765" s="1957"/>
      <c r="DF765" s="1957"/>
      <c r="DG765" s="1957"/>
      <c r="DH765" s="1957"/>
      <c r="DI765" s="1957"/>
      <c r="DJ765" s="1957"/>
      <c r="DK765" s="1957"/>
      <c r="DL765" s="1957"/>
      <c r="DM765" s="1957"/>
      <c r="DN765" s="1957"/>
      <c r="DO765" s="1957"/>
      <c r="DP765" s="1957"/>
      <c r="DQ765" s="1957"/>
      <c r="DR765" s="1957"/>
      <c r="DS765" s="1957"/>
      <c r="DT765" s="1957"/>
      <c r="DU765" s="1957"/>
      <c r="DV765" s="1957"/>
      <c r="DW765" s="1957"/>
      <c r="DX765" s="1957"/>
      <c r="DY765" s="1957"/>
      <c r="DZ765" s="1957"/>
      <c r="EA765" s="1957"/>
      <c r="EB765" s="1957"/>
      <c r="EC765" s="1957"/>
      <c r="ED765" s="1957"/>
      <c r="EE765" s="1957"/>
      <c r="EF765" s="1957"/>
      <c r="EG765" s="1957"/>
      <c r="EH765" s="1957"/>
      <c r="EI765" s="1957"/>
      <c r="EJ765" s="1957"/>
      <c r="EK765" s="1957"/>
      <c r="EL765" s="1957"/>
      <c r="EM765" s="1957"/>
      <c r="EN765" s="1957"/>
      <c r="EO765" s="1957"/>
      <c r="EP765" s="1957"/>
      <c r="EQ765" s="1957"/>
      <c r="ER765" s="1957"/>
      <c r="ES765" s="1957"/>
      <c r="ET765" s="1957"/>
      <c r="EU765" s="1957"/>
      <c r="EV765" s="1957"/>
      <c r="EW765" s="1957"/>
      <c r="EX765" s="1957"/>
      <c r="EY765" s="1957"/>
      <c r="EZ765" s="1957"/>
      <c r="FA765" s="1957"/>
      <c r="FB765" s="1957"/>
      <c r="FC765" s="1957"/>
      <c r="FD765" s="1957"/>
      <c r="FE765" s="1957"/>
      <c r="FF765" s="1957"/>
      <c r="FG765" s="1957"/>
      <c r="FH765" s="1957"/>
      <c r="FI765" s="1957"/>
      <c r="FJ765" s="1957"/>
      <c r="FK765" s="1957"/>
      <c r="FL765" s="1957"/>
      <c r="FM765" s="1957"/>
      <c r="FN765" s="1957"/>
      <c r="FO765" s="1957"/>
      <c r="FP765" s="1957"/>
      <c r="FQ765" s="1957"/>
      <c r="FR765" s="1957"/>
      <c r="FS765" s="1957"/>
      <c r="FT765" s="1957"/>
      <c r="FU765" s="1957"/>
      <c r="FV765" s="1957"/>
      <c r="FW765" s="1957"/>
      <c r="FX765" s="1957"/>
      <c r="FY765" s="1957"/>
      <c r="FZ765" s="1957"/>
      <c r="GA765" s="1957"/>
      <c r="GB765" s="1957"/>
      <c r="GC765" s="1957"/>
      <c r="GD765" s="1957"/>
      <c r="GE765" s="1957"/>
      <c r="GF765" s="1957"/>
      <c r="GG765" s="1957"/>
      <c r="GH765" s="1957"/>
      <c r="GI765" s="1957"/>
      <c r="GJ765" s="1957"/>
      <c r="GK765" s="1957"/>
      <c r="GL765" s="1957"/>
      <c r="GM765" s="1957"/>
      <c r="GN765" s="1957"/>
      <c r="GO765" s="1957"/>
      <c r="GP765" s="1957"/>
      <c r="GQ765" s="1957"/>
      <c r="GR765" s="1957"/>
      <c r="GS765" s="1957"/>
      <c r="GT765" s="1957"/>
      <c r="GU765" s="1957"/>
      <c r="GV765" s="1957"/>
      <c r="GW765" s="1957"/>
      <c r="GX765" s="1957"/>
      <c r="GY765" s="1957"/>
      <c r="GZ765" s="1957"/>
      <c r="HA765" s="1957"/>
      <c r="HB765" s="1957"/>
      <c r="HC765" s="1957"/>
      <c r="HD765" s="1957"/>
      <c r="HE765" s="1957"/>
      <c r="HF765" s="1957"/>
      <c r="HG765" s="1957"/>
      <c r="HH765" s="1957"/>
      <c r="HI765" s="1957"/>
      <c r="HJ765" s="1957"/>
      <c r="HK765" s="1957"/>
      <c r="HL765" s="1957"/>
      <c r="HM765" s="1957"/>
      <c r="HN765" s="1957"/>
      <c r="HO765" s="1957"/>
      <c r="HP765" s="1957"/>
      <c r="HQ765" s="1957"/>
      <c r="HR765" s="1957"/>
      <c r="HS765" s="1957"/>
      <c r="HT765" s="1957"/>
      <c r="HU765" s="1957"/>
      <c r="HV765" s="1957"/>
      <c r="HW765" s="1957"/>
      <c r="HX765" s="1957"/>
      <c r="HY765" s="1958"/>
      <c r="HZ765" s="1958"/>
      <c r="IA765" s="1958"/>
      <c r="IB765" s="1958"/>
      <c r="IC765" s="1958"/>
      <c r="ID765" s="1956" t="s">
        <v>481</v>
      </c>
      <c r="IE765" s="1956" t="s">
        <v>2408</v>
      </c>
      <c r="IF765" s="1956" t="s">
        <v>2409</v>
      </c>
      <c r="IG765" s="1956" t="s">
        <v>2410</v>
      </c>
      <c r="IH765" s="1956" t="s">
        <v>2411</v>
      </c>
      <c r="II765" s="1956" t="s">
        <v>481</v>
      </c>
      <c r="IJ765" s="1956" t="s">
        <v>2408</v>
      </c>
      <c r="IK765" s="1956" t="s">
        <v>2409</v>
      </c>
      <c r="IL765" s="1956" t="s">
        <v>2410</v>
      </c>
      <c r="IM765" s="1956" t="s">
        <v>2411</v>
      </c>
      <c r="IN765" s="1958"/>
      <c r="IO765" s="1958"/>
      <c r="IP765" s="1958"/>
      <c r="IQ765" s="1958"/>
      <c r="IR765" s="1958"/>
      <c r="IS765" s="1958"/>
      <c r="IT765" s="1958"/>
      <c r="IU765" s="1958"/>
      <c r="IV765" s="1958"/>
      <c r="IW765" s="1958"/>
      <c r="IX765" s="1956" t="s">
        <v>481</v>
      </c>
      <c r="IY765" s="1956" t="s">
        <v>2408</v>
      </c>
      <c r="IZ765" s="1956" t="s">
        <v>2409</v>
      </c>
      <c r="JA765" s="1956" t="s">
        <v>2410</v>
      </c>
      <c r="JB765" s="1956" t="s">
        <v>2411</v>
      </c>
      <c r="JC765" s="1956" t="s">
        <v>481</v>
      </c>
      <c r="JD765" s="1956" t="s">
        <v>2408</v>
      </c>
      <c r="JE765" s="1956" t="s">
        <v>2409</v>
      </c>
      <c r="JF765" s="1956" t="s">
        <v>2410</v>
      </c>
      <c r="JG765" s="1956" t="s">
        <v>2411</v>
      </c>
      <c r="JH765" s="1956" t="s">
        <v>481</v>
      </c>
      <c r="JI765" s="1956" t="s">
        <v>2408</v>
      </c>
      <c r="JJ765" s="1956" t="s">
        <v>2409</v>
      </c>
      <c r="JK765" s="1956" t="s">
        <v>2410</v>
      </c>
      <c r="JL765" s="1956" t="s">
        <v>2411</v>
      </c>
      <c r="JM765" s="1956" t="s">
        <v>481</v>
      </c>
      <c r="JN765" s="1956" t="s">
        <v>2408</v>
      </c>
      <c r="JO765" s="1956" t="s">
        <v>2409</v>
      </c>
      <c r="JP765" s="1956" t="s">
        <v>2410</v>
      </c>
      <c r="JQ765" s="1956" t="s">
        <v>2411</v>
      </c>
      <c r="JR765" s="1956" t="s">
        <v>481</v>
      </c>
      <c r="JS765" s="1956" t="s">
        <v>2408</v>
      </c>
      <c r="JT765" s="1956" t="s">
        <v>2409</v>
      </c>
      <c r="JU765" s="1956" t="s">
        <v>2410</v>
      </c>
      <c r="JV765" s="1956" t="s">
        <v>2411</v>
      </c>
      <c r="JW765" s="1956" t="s">
        <v>481</v>
      </c>
      <c r="JX765" s="1956" t="s">
        <v>2408</v>
      </c>
      <c r="JY765" s="1956" t="s">
        <v>2409</v>
      </c>
      <c r="JZ765" s="1956" t="s">
        <v>2410</v>
      </c>
      <c r="KA765" s="1956" t="s">
        <v>2411</v>
      </c>
      <c r="KB765" s="1956" t="s">
        <v>481</v>
      </c>
      <c r="KC765" s="1956" t="s">
        <v>2408</v>
      </c>
      <c r="KD765" s="1956" t="s">
        <v>2409</v>
      </c>
      <c r="KE765" s="1956" t="s">
        <v>2410</v>
      </c>
      <c r="KF765" s="1956" t="s">
        <v>2411</v>
      </c>
      <c r="KG765" s="1956" t="s">
        <v>481</v>
      </c>
      <c r="KH765" s="1956" t="s">
        <v>2408</v>
      </c>
      <c r="KI765" s="1956" t="s">
        <v>2409</v>
      </c>
      <c r="KJ765" s="1956" t="s">
        <v>2410</v>
      </c>
      <c r="KK765" s="1956" t="s">
        <v>2411</v>
      </c>
      <c r="KL765" s="1956" t="s">
        <v>481</v>
      </c>
      <c r="KM765" s="1956" t="s">
        <v>2408</v>
      </c>
      <c r="KN765" s="1956" t="s">
        <v>2409</v>
      </c>
      <c r="KO765" s="1956" t="s">
        <v>2410</v>
      </c>
      <c r="KP765" s="1956" t="s">
        <v>2411</v>
      </c>
      <c r="KQ765" s="1956" t="s">
        <v>481</v>
      </c>
      <c r="KR765" s="1956" t="s">
        <v>2408</v>
      </c>
      <c r="KS765" s="1956" t="s">
        <v>2409</v>
      </c>
      <c r="KT765" s="1956" t="s">
        <v>2410</v>
      </c>
      <c r="KU765" s="1956" t="s">
        <v>2411</v>
      </c>
      <c r="KV765" s="1956" t="s">
        <v>481</v>
      </c>
      <c r="KW765" s="1956" t="s">
        <v>2408</v>
      </c>
      <c r="KX765" s="1956" t="s">
        <v>2409</v>
      </c>
      <c r="KY765" s="1956" t="s">
        <v>2410</v>
      </c>
      <c r="KZ765" s="1956" t="s">
        <v>2411</v>
      </c>
      <c r="LA765" s="1956" t="s">
        <v>481</v>
      </c>
      <c r="LB765" s="1956" t="s">
        <v>2408</v>
      </c>
      <c r="LC765" s="1956" t="s">
        <v>2409</v>
      </c>
      <c r="LD765" s="1956" t="s">
        <v>2410</v>
      </c>
      <c r="LE765" s="1956" t="s">
        <v>2411</v>
      </c>
      <c r="LF765" s="1311"/>
      <c r="LG765" s="1311"/>
      <c r="LH765" s="1311"/>
      <c r="LI765" s="1311"/>
      <c r="LJ765" s="1311"/>
      <c r="LK765" s="1957"/>
      <c r="LL765" s="1957"/>
      <c r="LM765" s="1957"/>
      <c r="LN765" s="1957"/>
      <c r="LO765" s="1957"/>
      <c r="LP765" s="1957"/>
      <c r="LQ765" s="1957"/>
      <c r="LR765" s="1957"/>
      <c r="LS765" s="1957"/>
      <c r="LT765" s="1957"/>
      <c r="LU765" s="1957"/>
      <c r="LV765" s="1957"/>
      <c r="LW765" s="1957"/>
      <c r="LX765" s="1957"/>
      <c r="LY765" s="1957"/>
      <c r="LZ765" s="1957"/>
      <c r="MA765" s="1957"/>
      <c r="MB765" s="1957"/>
      <c r="MC765" s="1957"/>
      <c r="MD765" s="1957"/>
      <c r="ME765" s="1951" t="s">
        <v>3358</v>
      </c>
      <c r="MF765" s="1951" t="s">
        <v>3359</v>
      </c>
      <c r="MG765" s="1951" t="s">
        <v>3360</v>
      </c>
      <c r="MH765" s="1951" t="s">
        <v>3361</v>
      </c>
      <c r="MI765" s="1951" t="s">
        <v>3362</v>
      </c>
      <c r="MJ765" s="1311"/>
      <c r="MK765" s="1311"/>
      <c r="ML765" s="1311"/>
      <c r="MM765" s="1311"/>
      <c r="MN765" s="1311"/>
      <c r="MO765" s="1311"/>
      <c r="MP765" s="1311"/>
      <c r="MQ765" s="1311"/>
      <c r="MR765" s="1311"/>
      <c r="MS765" s="1311"/>
    </row>
    <row r="766" spans="1:357" ht="12.75" customHeight="1">
      <c r="A766" s="1311"/>
      <c r="B766" s="1311"/>
      <c r="C766" s="1311"/>
      <c r="D766" s="1311"/>
      <c r="E766" s="1311"/>
      <c r="F766" s="1311"/>
      <c r="G766" s="1311"/>
      <c r="H766" s="1311"/>
      <c r="I766" s="1311"/>
      <c r="J766" s="1311"/>
      <c r="K766" s="1311"/>
      <c r="L766" s="1311"/>
      <c r="M766" s="1311"/>
      <c r="N766" s="1311"/>
      <c r="O766" s="1311"/>
      <c r="P766" s="1894" t="s">
        <v>5042</v>
      </c>
      <c r="Q766" s="1959"/>
      <c r="R766" s="1785"/>
      <c r="S766" s="1785"/>
      <c r="T766" s="1785"/>
      <c r="U766" s="1785"/>
      <c r="V766" s="1311"/>
      <c r="W766" s="1894" t="s">
        <v>4292</v>
      </c>
      <c r="X766" s="1894" t="s">
        <v>4293</v>
      </c>
      <c r="Y766" s="1894" t="s">
        <v>4294</v>
      </c>
      <c r="Z766" s="1894" t="s">
        <v>4295</v>
      </c>
      <c r="AA766" s="1894" t="s">
        <v>4296</v>
      </c>
      <c r="AB766" s="1894" t="s">
        <v>4297</v>
      </c>
      <c r="AC766" s="1894" t="s">
        <v>4298</v>
      </c>
      <c r="AD766" s="1894" t="s">
        <v>4299</v>
      </c>
      <c r="AE766" s="1894" t="s">
        <v>4300</v>
      </c>
      <c r="AF766" s="1894" t="s">
        <v>4301</v>
      </c>
      <c r="AG766" s="1894" t="s">
        <v>906</v>
      </c>
      <c r="AH766" s="1894" t="s">
        <v>745</v>
      </c>
      <c r="AI766" s="1894" t="s">
        <v>746</v>
      </c>
      <c r="AJ766" s="1894" t="s">
        <v>747</v>
      </c>
      <c r="AK766" s="1894" t="s">
        <v>748</v>
      </c>
      <c r="AL766" s="1894" t="s">
        <v>907</v>
      </c>
      <c r="AM766" s="1894" t="s">
        <v>2281</v>
      </c>
      <c r="AN766" s="1894" t="s">
        <v>2282</v>
      </c>
      <c r="AO766" s="1894" t="s">
        <v>2283</v>
      </c>
      <c r="AP766" s="1894" t="s">
        <v>2284</v>
      </c>
      <c r="AQ766" s="1894" t="s">
        <v>4303</v>
      </c>
      <c r="AR766" s="1894" t="s">
        <v>4304</v>
      </c>
      <c r="AS766" s="1894" t="s">
        <v>4305</v>
      </c>
      <c r="AT766" s="1894" t="s">
        <v>4306</v>
      </c>
      <c r="AU766" s="1894" t="s">
        <v>4302</v>
      </c>
      <c r="AV766" s="1894" t="s">
        <v>908</v>
      </c>
      <c r="AW766" s="1894" t="s">
        <v>2285</v>
      </c>
      <c r="AX766" s="1894" t="s">
        <v>2286</v>
      </c>
      <c r="AY766" s="1894" t="s">
        <v>2287</v>
      </c>
      <c r="AZ766" s="1894" t="s">
        <v>2288</v>
      </c>
      <c r="BA766" s="1894" t="s">
        <v>4307</v>
      </c>
      <c r="BB766" s="1894" t="s">
        <v>4308</v>
      </c>
      <c r="BC766" s="1894" t="s">
        <v>4309</v>
      </c>
      <c r="BD766" s="1894" t="s">
        <v>4310</v>
      </c>
      <c r="BE766" s="1894" t="s">
        <v>4311</v>
      </c>
      <c r="BF766" s="1894" t="s">
        <v>127</v>
      </c>
      <c r="BG766" s="1894" t="s">
        <v>2289</v>
      </c>
      <c r="BH766" s="1894" t="s">
        <v>2290</v>
      </c>
      <c r="BI766" s="1894" t="s">
        <v>2291</v>
      </c>
      <c r="BJ766" s="1894" t="s">
        <v>1135</v>
      </c>
      <c r="BK766" s="1894" t="s">
        <v>4312</v>
      </c>
      <c r="BL766" s="1894" t="s">
        <v>4313</v>
      </c>
      <c r="BM766" s="1894" t="s">
        <v>4314</v>
      </c>
      <c r="BN766" s="1894" t="s">
        <v>4315</v>
      </c>
      <c r="BO766" s="1894" t="s">
        <v>4316</v>
      </c>
      <c r="BP766" s="1894" t="s">
        <v>547</v>
      </c>
      <c r="BQ766" s="1894" t="s">
        <v>548</v>
      </c>
      <c r="BR766" s="1894" t="s">
        <v>567</v>
      </c>
      <c r="BS766" s="1894" t="s">
        <v>568</v>
      </c>
      <c r="BT766" s="1894" t="s">
        <v>569</v>
      </c>
      <c r="BU766" s="1894" t="s">
        <v>4317</v>
      </c>
      <c r="BV766" s="1894" t="s">
        <v>4318</v>
      </c>
      <c r="BW766" s="1894" t="s">
        <v>4319</v>
      </c>
      <c r="BX766" s="1894" t="s">
        <v>4320</v>
      </c>
      <c r="BY766" s="1894" t="s">
        <v>4321</v>
      </c>
      <c r="BZ766" s="1894" t="s">
        <v>570</v>
      </c>
      <c r="CA766" s="1894" t="s">
        <v>571</v>
      </c>
      <c r="CB766" s="1894" t="s">
        <v>572</v>
      </c>
      <c r="CC766" s="1894" t="s">
        <v>573</v>
      </c>
      <c r="CD766" s="1894" t="s">
        <v>574</v>
      </c>
      <c r="CE766" s="1894" t="s">
        <v>575</v>
      </c>
      <c r="CF766" s="1894" t="s">
        <v>576</v>
      </c>
      <c r="CG766" s="1894" t="s">
        <v>918</v>
      </c>
      <c r="CH766" s="1894" t="s">
        <v>919</v>
      </c>
      <c r="CI766" s="1894" t="s">
        <v>920</v>
      </c>
      <c r="CJ766" s="1894" t="s">
        <v>4327</v>
      </c>
      <c r="CK766" s="1894" t="s">
        <v>4328</v>
      </c>
      <c r="CL766" s="1894" t="s">
        <v>4329</v>
      </c>
      <c r="CM766" s="1894" t="s">
        <v>4330</v>
      </c>
      <c r="CN766" s="1894" t="s">
        <v>4331</v>
      </c>
      <c r="CO766" s="1894" t="s">
        <v>4322</v>
      </c>
      <c r="CP766" s="1894" t="s">
        <v>4323</v>
      </c>
      <c r="CQ766" s="1894" t="s">
        <v>4324</v>
      </c>
      <c r="CR766" s="1894" t="s">
        <v>4325</v>
      </c>
      <c r="CS766" s="1894" t="s">
        <v>4326</v>
      </c>
      <c r="CT766" s="1894" t="s">
        <v>4332</v>
      </c>
      <c r="CU766" s="1894" t="s">
        <v>4333</v>
      </c>
      <c r="CV766" s="1894" t="s">
        <v>4334</v>
      </c>
      <c r="CW766" s="1894" t="s">
        <v>4335</v>
      </c>
      <c r="CX766" s="1894" t="s">
        <v>4336</v>
      </c>
      <c r="CY766" s="1894" t="s">
        <v>491</v>
      </c>
      <c r="CZ766" s="1894" t="s">
        <v>492</v>
      </c>
      <c r="DA766" s="1894" t="s">
        <v>493</v>
      </c>
      <c r="DB766" s="1894" t="s">
        <v>494</v>
      </c>
      <c r="DC766" s="1894" t="s">
        <v>495</v>
      </c>
      <c r="DD766" s="1894" t="s">
        <v>4337</v>
      </c>
      <c r="DE766" s="1894" t="s">
        <v>4338</v>
      </c>
      <c r="DF766" s="1894" t="s">
        <v>4339</v>
      </c>
      <c r="DG766" s="1894" t="s">
        <v>4340</v>
      </c>
      <c r="DH766" s="1894" t="s">
        <v>4341</v>
      </c>
      <c r="DI766" s="1894" t="s">
        <v>867</v>
      </c>
      <c r="DJ766" s="1894" t="s">
        <v>868</v>
      </c>
      <c r="DK766" s="1894" t="s">
        <v>869</v>
      </c>
      <c r="DL766" s="1894" t="s">
        <v>870</v>
      </c>
      <c r="DM766" s="1894" t="s">
        <v>871</v>
      </c>
      <c r="DN766" s="1894" t="s">
        <v>872</v>
      </c>
      <c r="DO766" s="1894" t="s">
        <v>873</v>
      </c>
      <c r="DP766" s="1894" t="s">
        <v>874</v>
      </c>
      <c r="DQ766" s="1894" t="s">
        <v>875</v>
      </c>
      <c r="DR766" s="1894" t="s">
        <v>876</v>
      </c>
      <c r="DS766" s="1894" t="s">
        <v>4342</v>
      </c>
      <c r="DT766" s="1894" t="s">
        <v>4343</v>
      </c>
      <c r="DU766" s="1894" t="s">
        <v>4344</v>
      </c>
      <c r="DV766" s="1894" t="s">
        <v>4345</v>
      </c>
      <c r="DW766" s="1894" t="s">
        <v>4346</v>
      </c>
      <c r="DX766" s="1894" t="s">
        <v>4347</v>
      </c>
      <c r="DY766" s="1894" t="s">
        <v>4348</v>
      </c>
      <c r="DZ766" s="1894" t="s">
        <v>4349</v>
      </c>
      <c r="EA766" s="1894" t="s">
        <v>4350</v>
      </c>
      <c r="EB766" s="1894" t="s">
        <v>4351</v>
      </c>
      <c r="EC766" s="1894" t="s">
        <v>2398</v>
      </c>
      <c r="ED766" s="1894" t="s">
        <v>2399</v>
      </c>
      <c r="EE766" s="1894" t="s">
        <v>2400</v>
      </c>
      <c r="EF766" s="1894" t="s">
        <v>2401</v>
      </c>
      <c r="EG766" s="1894" t="s">
        <v>2402</v>
      </c>
      <c r="EH766" s="1894" t="s">
        <v>4352</v>
      </c>
      <c r="EI766" s="1894" t="s">
        <v>4353</v>
      </c>
      <c r="EJ766" s="1894" t="s">
        <v>4354</v>
      </c>
      <c r="EK766" s="1894" t="s">
        <v>4355</v>
      </c>
      <c r="EL766" s="1894" t="s">
        <v>4356</v>
      </c>
      <c r="EM766" s="1894" t="s">
        <v>4357</v>
      </c>
      <c r="EN766" s="1894" t="s">
        <v>4358</v>
      </c>
      <c r="EO766" s="1894" t="s">
        <v>4359</v>
      </c>
      <c r="EP766" s="1894" t="s">
        <v>4360</v>
      </c>
      <c r="EQ766" s="1894" t="s">
        <v>4361</v>
      </c>
      <c r="ER766" s="1951" t="s">
        <v>115</v>
      </c>
      <c r="ES766" s="1951" t="s">
        <v>1138</v>
      </c>
      <c r="ET766" s="1951" t="s">
        <v>1139</v>
      </c>
      <c r="EU766" s="1951" t="s">
        <v>1198</v>
      </c>
      <c r="EV766" s="1951" t="s">
        <v>1199</v>
      </c>
      <c r="EW766" s="1951" t="s">
        <v>130</v>
      </c>
      <c r="EX766" s="1951" t="s">
        <v>1200</v>
      </c>
      <c r="EY766" s="1951" t="s">
        <v>1201</v>
      </c>
      <c r="EZ766" s="1951" t="s">
        <v>1202</v>
      </c>
      <c r="FA766" s="1951" t="s">
        <v>1203</v>
      </c>
      <c r="FB766" s="1894" t="s">
        <v>4362</v>
      </c>
      <c r="FC766" s="1894" t="s">
        <v>4363</v>
      </c>
      <c r="FD766" s="1894" t="s">
        <v>4364</v>
      </c>
      <c r="FE766" s="1894" t="s">
        <v>4365</v>
      </c>
      <c r="FF766" s="1894" t="s">
        <v>4366</v>
      </c>
      <c r="FG766" s="1951" t="s">
        <v>129</v>
      </c>
      <c r="FH766" s="1951" t="s">
        <v>898</v>
      </c>
      <c r="FI766" s="1951" t="s">
        <v>899</v>
      </c>
      <c r="FJ766" s="1951" t="s">
        <v>900</v>
      </c>
      <c r="FK766" s="1951" t="s">
        <v>901</v>
      </c>
      <c r="FL766" s="1894" t="s">
        <v>4367</v>
      </c>
      <c r="FM766" s="1894" t="s">
        <v>4368</v>
      </c>
      <c r="FN766" s="1894" t="s">
        <v>4369</v>
      </c>
      <c r="FO766" s="1894" t="s">
        <v>4370</v>
      </c>
      <c r="FP766" s="1894" t="s">
        <v>4371</v>
      </c>
      <c r="FQ766" s="1951" t="s">
        <v>128</v>
      </c>
      <c r="FR766" s="1951" t="s">
        <v>902</v>
      </c>
      <c r="FS766" s="1951" t="s">
        <v>903</v>
      </c>
      <c r="FT766" s="1951" t="s">
        <v>904</v>
      </c>
      <c r="FU766" s="1951" t="s">
        <v>905</v>
      </c>
      <c r="FV766" s="1951" t="s">
        <v>797</v>
      </c>
      <c r="FW766" s="1951" t="s">
        <v>798</v>
      </c>
      <c r="FX766" s="1951" t="s">
        <v>799</v>
      </c>
      <c r="FY766" s="1951" t="s">
        <v>800</v>
      </c>
      <c r="FZ766" s="1951" t="s">
        <v>801</v>
      </c>
      <c r="GA766" s="1951" t="s">
        <v>944</v>
      </c>
      <c r="GB766" s="1951" t="s">
        <v>945</v>
      </c>
      <c r="GC766" s="1951" t="s">
        <v>946</v>
      </c>
      <c r="GD766" s="1951" t="s">
        <v>947</v>
      </c>
      <c r="GE766" s="1951" t="s">
        <v>2397</v>
      </c>
      <c r="GF766" s="1951" t="s">
        <v>1417</v>
      </c>
      <c r="GG766" s="1951" t="s">
        <v>1418</v>
      </c>
      <c r="GH766" s="1951" t="s">
        <v>1419</v>
      </c>
      <c r="GI766" s="1951" t="s">
        <v>1420</v>
      </c>
      <c r="GJ766" s="1951" t="s">
        <v>1421</v>
      </c>
      <c r="GK766" s="1951" t="s">
        <v>432</v>
      </c>
      <c r="GL766" s="1951" t="s">
        <v>433</v>
      </c>
      <c r="GM766" s="1951" t="s">
        <v>434</v>
      </c>
      <c r="GN766" s="1951" t="s">
        <v>435</v>
      </c>
      <c r="GO766" s="1951" t="s">
        <v>436</v>
      </c>
      <c r="GP766" s="1951" t="s">
        <v>15</v>
      </c>
      <c r="GQ766" s="1951" t="s">
        <v>16</v>
      </c>
      <c r="GR766" s="1951" t="s">
        <v>17</v>
      </c>
      <c r="GS766" s="1951" t="s">
        <v>18</v>
      </c>
      <c r="GT766" s="1951" t="s">
        <v>19</v>
      </c>
      <c r="GU766" s="1951" t="s">
        <v>219</v>
      </c>
      <c r="GV766" s="1951" t="s">
        <v>220</v>
      </c>
      <c r="GW766" s="1951" t="s">
        <v>221</v>
      </c>
      <c r="GX766" s="1951" t="s">
        <v>1787</v>
      </c>
      <c r="GY766" s="1951" t="s">
        <v>1788</v>
      </c>
      <c r="GZ766" s="1951" t="s">
        <v>1789</v>
      </c>
      <c r="HA766" s="1951" t="s">
        <v>582</v>
      </c>
      <c r="HB766" s="1951" t="s">
        <v>583</v>
      </c>
      <c r="HC766" s="1951" t="s">
        <v>584</v>
      </c>
      <c r="HD766" s="1951" t="s">
        <v>585</v>
      </c>
      <c r="HE766" s="1951" t="s">
        <v>20</v>
      </c>
      <c r="HF766" s="1951" t="s">
        <v>21</v>
      </c>
      <c r="HG766" s="1951" t="s">
        <v>22</v>
      </c>
      <c r="HH766" s="1951" t="s">
        <v>23</v>
      </c>
      <c r="HI766" s="1951" t="s">
        <v>24</v>
      </c>
      <c r="HJ766" s="1951" t="s">
        <v>490</v>
      </c>
      <c r="HK766" s="1951" t="s">
        <v>428</v>
      </c>
      <c r="HL766" s="1951" t="s">
        <v>429</v>
      </c>
      <c r="HM766" s="1951" t="s">
        <v>430</v>
      </c>
      <c r="HN766" s="1951" t="s">
        <v>431</v>
      </c>
      <c r="HO766" s="1951" t="s">
        <v>2180</v>
      </c>
      <c r="HP766" s="1951" t="s">
        <v>2181</v>
      </c>
      <c r="HQ766" s="1951" t="s">
        <v>2182</v>
      </c>
      <c r="HR766" s="1951" t="s">
        <v>1461</v>
      </c>
      <c r="HS766" s="1951" t="s">
        <v>1462</v>
      </c>
      <c r="HT766" s="1951" t="s">
        <v>25</v>
      </c>
      <c r="HU766" s="1951" t="s">
        <v>26</v>
      </c>
      <c r="HV766" s="1951" t="s">
        <v>27</v>
      </c>
      <c r="HW766" s="1951" t="s">
        <v>28</v>
      </c>
      <c r="HX766" s="1951" t="s">
        <v>29</v>
      </c>
      <c r="HY766" s="1955"/>
      <c r="HZ766" s="1955"/>
      <c r="IA766" s="1955"/>
      <c r="IB766" s="1955"/>
      <c r="IC766" s="1955"/>
      <c r="ID766" s="1955"/>
      <c r="IE766" s="1955"/>
      <c r="IF766" s="1955"/>
      <c r="IG766" s="1955"/>
      <c r="IH766" s="1955"/>
      <c r="II766" s="1955"/>
      <c r="IJ766" s="1955"/>
      <c r="IK766" s="1955"/>
      <c r="IL766" s="1955"/>
      <c r="IM766" s="1955"/>
      <c r="IN766" s="1955"/>
      <c r="IO766" s="1955"/>
      <c r="IP766" s="1955"/>
      <c r="IQ766" s="1955"/>
      <c r="IR766" s="1955"/>
      <c r="IS766" s="1955"/>
      <c r="IT766" s="1955"/>
      <c r="IU766" s="1955"/>
      <c r="IV766" s="1955"/>
      <c r="IW766" s="1955"/>
      <c r="IX766" s="1955"/>
      <c r="IY766" s="1955"/>
      <c r="IZ766" s="1955"/>
      <c r="JA766" s="1955"/>
      <c r="JB766" s="1955"/>
      <c r="JC766" s="1955"/>
      <c r="JD766" s="1955"/>
      <c r="JE766" s="1955"/>
      <c r="JF766" s="1955"/>
      <c r="JG766" s="1955"/>
      <c r="JH766" s="1955"/>
      <c r="JI766" s="1955"/>
      <c r="JJ766" s="1955"/>
      <c r="JK766" s="1955"/>
      <c r="JL766" s="1955"/>
      <c r="JM766" s="1955"/>
      <c r="JN766" s="1955"/>
      <c r="JO766" s="1955"/>
      <c r="JP766" s="1955"/>
      <c r="JQ766" s="1955"/>
      <c r="JR766" s="1955"/>
      <c r="JS766" s="1955"/>
      <c r="JT766" s="1955"/>
      <c r="JU766" s="1955"/>
      <c r="JV766" s="1955"/>
      <c r="JW766" s="1955"/>
      <c r="JX766" s="1955"/>
      <c r="JY766" s="1955"/>
      <c r="JZ766" s="1955"/>
      <c r="KA766" s="1955"/>
      <c r="KB766" s="1955"/>
      <c r="KC766" s="1955"/>
      <c r="KD766" s="1955"/>
      <c r="KE766" s="1955"/>
      <c r="KF766" s="1955"/>
      <c r="KG766" s="1955"/>
      <c r="KH766" s="1955"/>
      <c r="KI766" s="1955"/>
      <c r="KJ766" s="1955"/>
      <c r="KK766" s="1955"/>
      <c r="KL766" s="1955"/>
      <c r="KM766" s="1955"/>
      <c r="KN766" s="1955"/>
      <c r="KO766" s="1955"/>
      <c r="KP766" s="1955"/>
      <c r="KQ766" s="1955"/>
      <c r="KR766" s="1955"/>
      <c r="KS766" s="1955"/>
      <c r="KT766" s="1955"/>
      <c r="KU766" s="1955"/>
      <c r="KV766" s="1311"/>
      <c r="KW766" s="1311"/>
      <c r="KX766" s="1311"/>
      <c r="KY766" s="1311"/>
      <c r="KZ766" s="1311"/>
      <c r="LA766" s="1311"/>
      <c r="LB766" s="1311"/>
      <c r="LC766" s="1311"/>
      <c r="LD766" s="1311"/>
      <c r="LE766" s="1311"/>
      <c r="LF766" s="1951" t="s">
        <v>1606</v>
      </c>
      <c r="LG766" s="1951" t="s">
        <v>2490</v>
      </c>
      <c r="LH766" s="1951" t="s">
        <v>2491</v>
      </c>
      <c r="LI766" s="1951" t="s">
        <v>382</v>
      </c>
      <c r="LJ766" s="1951" t="s">
        <v>383</v>
      </c>
      <c r="LK766" s="1951" t="s">
        <v>384</v>
      </c>
      <c r="LL766" s="1951" t="s">
        <v>385</v>
      </c>
      <c r="LM766" s="1951" t="s">
        <v>386</v>
      </c>
      <c r="LN766" s="1951" t="s">
        <v>387</v>
      </c>
      <c r="LO766" s="1951" t="s">
        <v>388</v>
      </c>
      <c r="LP766" s="1951" t="s">
        <v>200</v>
      </c>
      <c r="LQ766" s="1951" t="s">
        <v>201</v>
      </c>
      <c r="LR766" s="1951" t="s">
        <v>202</v>
      </c>
      <c r="LS766" s="1951" t="s">
        <v>203</v>
      </c>
      <c r="LT766" s="1951" t="s">
        <v>204</v>
      </c>
      <c r="LU766" s="1951" t="s">
        <v>205</v>
      </c>
      <c r="LV766" s="1951" t="s">
        <v>206</v>
      </c>
      <c r="LW766" s="1951" t="s">
        <v>207</v>
      </c>
      <c r="LX766" s="1951" t="s">
        <v>208</v>
      </c>
      <c r="LY766" s="1951" t="s">
        <v>209</v>
      </c>
      <c r="LZ766" s="1951" t="s">
        <v>210</v>
      </c>
      <c r="MA766" s="1951" t="s">
        <v>211</v>
      </c>
      <c r="MB766" s="1951" t="s">
        <v>212</v>
      </c>
      <c r="MC766" s="1951" t="s">
        <v>213</v>
      </c>
      <c r="MD766" s="1951" t="s">
        <v>214</v>
      </c>
      <c r="ME766" s="1951"/>
      <c r="MF766" s="1951"/>
      <c r="MG766" s="1951"/>
      <c r="MH766" s="1951"/>
      <c r="MI766" s="1951"/>
      <c r="MJ766" s="1311"/>
      <c r="MK766" s="1311"/>
      <c r="ML766" s="1311"/>
      <c r="MM766" s="1311"/>
      <c r="MN766" s="1311"/>
      <c r="MO766" s="1311"/>
      <c r="MP766" s="1311"/>
      <c r="MQ766" s="1311"/>
      <c r="MR766" s="1311"/>
      <c r="MS766" s="1311"/>
    </row>
    <row r="767" spans="1:357" ht="12.75" customHeight="1">
      <c r="A767" s="1960" t="str">
        <f>IF(A810&gt;0,"Finish Row!","")</f>
        <v/>
      </c>
      <c r="B767" s="1311" t="s">
        <v>1821</v>
      </c>
      <c r="C767" s="1311"/>
      <c r="D767" s="1311"/>
      <c r="E767" s="1311"/>
      <c r="F767" s="1311"/>
      <c r="G767" s="1955" t="str">
        <f>'Part VI-Revenues &amp; Expenses'!G5</f>
        <v>&lt;Select&gt;</v>
      </c>
      <c r="H767" s="1311"/>
      <c r="I767" s="1311"/>
      <c r="J767" s="1958" t="s">
        <v>3494</v>
      </c>
      <c r="K767" s="1961" t="str">
        <f>'Part I-Project Information'!$B$6</f>
        <v>May 2019</v>
      </c>
      <c r="L767" s="1962"/>
      <c r="M767" s="1949" t="s">
        <v>566</v>
      </c>
      <c r="N767" s="1311"/>
      <c r="O767" s="1955" t="s">
        <v>5043</v>
      </c>
      <c r="P767" s="1894"/>
      <c r="Q767" s="1959"/>
      <c r="R767" s="1311"/>
      <c r="S767" s="1311"/>
      <c r="T767" s="1311"/>
      <c r="U767" s="1311"/>
      <c r="V767" s="1311"/>
      <c r="W767" s="1894"/>
      <c r="X767" s="1894"/>
      <c r="Y767" s="1894"/>
      <c r="Z767" s="1894"/>
      <c r="AA767" s="1894"/>
      <c r="AB767" s="1894"/>
      <c r="AC767" s="1894"/>
      <c r="AD767" s="1894"/>
      <c r="AE767" s="1894"/>
      <c r="AF767" s="1894"/>
      <c r="AG767" s="1894"/>
      <c r="AH767" s="1894"/>
      <c r="AI767" s="1894"/>
      <c r="AJ767" s="1894"/>
      <c r="AK767" s="1894"/>
      <c r="AL767" s="1894"/>
      <c r="AM767" s="1894"/>
      <c r="AN767" s="1894"/>
      <c r="AO767" s="1894"/>
      <c r="AP767" s="1894"/>
      <c r="AQ767" s="1894"/>
      <c r="AR767" s="1894"/>
      <c r="AS767" s="1894"/>
      <c r="AT767" s="1894"/>
      <c r="AU767" s="1894"/>
      <c r="AV767" s="1894"/>
      <c r="AW767" s="1894"/>
      <c r="AX767" s="1894"/>
      <c r="AY767" s="1894"/>
      <c r="AZ767" s="1894"/>
      <c r="BA767" s="1894"/>
      <c r="BB767" s="1894"/>
      <c r="BC767" s="1894"/>
      <c r="BD767" s="1894"/>
      <c r="BE767" s="1894"/>
      <c r="BF767" s="1894"/>
      <c r="BG767" s="1894"/>
      <c r="BH767" s="1894"/>
      <c r="BI767" s="1894"/>
      <c r="BJ767" s="1894"/>
      <c r="BK767" s="1894"/>
      <c r="BL767" s="1894"/>
      <c r="BM767" s="1894"/>
      <c r="BN767" s="1894"/>
      <c r="BO767" s="1894"/>
      <c r="BP767" s="1894"/>
      <c r="BQ767" s="1894"/>
      <c r="BR767" s="1894"/>
      <c r="BS767" s="1894"/>
      <c r="BT767" s="1894"/>
      <c r="BU767" s="1894"/>
      <c r="BV767" s="1894"/>
      <c r="BW767" s="1894"/>
      <c r="BX767" s="1894"/>
      <c r="BY767" s="1894"/>
      <c r="BZ767" s="1894"/>
      <c r="CA767" s="1894"/>
      <c r="CB767" s="1894"/>
      <c r="CC767" s="1894"/>
      <c r="CD767" s="1894"/>
      <c r="CE767" s="1894"/>
      <c r="CF767" s="1894"/>
      <c r="CG767" s="1894"/>
      <c r="CH767" s="1894"/>
      <c r="CI767" s="1894"/>
      <c r="CJ767" s="1894"/>
      <c r="CK767" s="1894"/>
      <c r="CL767" s="1894"/>
      <c r="CM767" s="1894"/>
      <c r="CN767" s="1894"/>
      <c r="CO767" s="1894"/>
      <c r="CP767" s="1894"/>
      <c r="CQ767" s="1894"/>
      <c r="CR767" s="1894"/>
      <c r="CS767" s="1894"/>
      <c r="CT767" s="1894"/>
      <c r="CU767" s="1894"/>
      <c r="CV767" s="1894"/>
      <c r="CW767" s="1894"/>
      <c r="CX767" s="1894"/>
      <c r="CY767" s="1894"/>
      <c r="CZ767" s="1894"/>
      <c r="DA767" s="1894"/>
      <c r="DB767" s="1894"/>
      <c r="DC767" s="1894"/>
      <c r="DD767" s="1894"/>
      <c r="DE767" s="1894"/>
      <c r="DF767" s="1894"/>
      <c r="DG767" s="1894"/>
      <c r="DH767" s="1894"/>
      <c r="DI767" s="1894"/>
      <c r="DJ767" s="1894"/>
      <c r="DK767" s="1894"/>
      <c r="DL767" s="1894"/>
      <c r="DM767" s="1894"/>
      <c r="DN767" s="1894"/>
      <c r="DO767" s="1894"/>
      <c r="DP767" s="1894"/>
      <c r="DQ767" s="1894"/>
      <c r="DR767" s="1894"/>
      <c r="DS767" s="1894"/>
      <c r="DT767" s="1894"/>
      <c r="DU767" s="1894"/>
      <c r="DV767" s="1894"/>
      <c r="DW767" s="1894"/>
      <c r="DX767" s="1894"/>
      <c r="DY767" s="1894"/>
      <c r="DZ767" s="1894"/>
      <c r="EA767" s="1894"/>
      <c r="EB767" s="1894"/>
      <c r="EC767" s="1894"/>
      <c r="ED767" s="1894"/>
      <c r="EE767" s="1894"/>
      <c r="EF767" s="1894"/>
      <c r="EG767" s="1894"/>
      <c r="EH767" s="1894"/>
      <c r="EI767" s="1894"/>
      <c r="EJ767" s="1894"/>
      <c r="EK767" s="1894"/>
      <c r="EL767" s="1894"/>
      <c r="EM767" s="1894"/>
      <c r="EN767" s="1894"/>
      <c r="EO767" s="1894"/>
      <c r="EP767" s="1894"/>
      <c r="EQ767" s="1894"/>
      <c r="ER767" s="1951"/>
      <c r="ES767" s="1951"/>
      <c r="ET767" s="1951"/>
      <c r="EU767" s="1951"/>
      <c r="EV767" s="1951"/>
      <c r="EW767" s="1951"/>
      <c r="EX767" s="1951"/>
      <c r="EY767" s="1951"/>
      <c r="EZ767" s="1951"/>
      <c r="FA767" s="1951"/>
      <c r="FB767" s="1894"/>
      <c r="FC767" s="1894"/>
      <c r="FD767" s="1894"/>
      <c r="FE767" s="1894"/>
      <c r="FF767" s="1894"/>
      <c r="FG767" s="1951"/>
      <c r="FH767" s="1951"/>
      <c r="FI767" s="1951"/>
      <c r="FJ767" s="1951"/>
      <c r="FK767" s="1951"/>
      <c r="FL767" s="1894"/>
      <c r="FM767" s="1894"/>
      <c r="FN767" s="1894"/>
      <c r="FO767" s="1894"/>
      <c r="FP767" s="1894"/>
      <c r="FQ767" s="1951"/>
      <c r="FR767" s="1951"/>
      <c r="FS767" s="1951"/>
      <c r="FT767" s="1951"/>
      <c r="FU767" s="1951"/>
      <c r="FV767" s="1951"/>
      <c r="FW767" s="1951"/>
      <c r="FX767" s="1951"/>
      <c r="FY767" s="1951"/>
      <c r="FZ767" s="1951"/>
      <c r="GA767" s="1951"/>
      <c r="GB767" s="1951"/>
      <c r="GC767" s="1951"/>
      <c r="GD767" s="1951"/>
      <c r="GE767" s="1951"/>
      <c r="GF767" s="1951"/>
      <c r="GG767" s="1951"/>
      <c r="GH767" s="1951"/>
      <c r="GI767" s="1951"/>
      <c r="GJ767" s="1951"/>
      <c r="GK767" s="1951"/>
      <c r="GL767" s="1951"/>
      <c r="GM767" s="1951"/>
      <c r="GN767" s="1951"/>
      <c r="GO767" s="1951"/>
      <c r="GP767" s="1951"/>
      <c r="GQ767" s="1951"/>
      <c r="GR767" s="1951"/>
      <c r="GS767" s="1951"/>
      <c r="GT767" s="1951"/>
      <c r="GU767" s="1951"/>
      <c r="GV767" s="1951"/>
      <c r="GW767" s="1951"/>
      <c r="GX767" s="1951"/>
      <c r="GY767" s="1951"/>
      <c r="GZ767" s="1951"/>
      <c r="HA767" s="1951"/>
      <c r="HB767" s="1951"/>
      <c r="HC767" s="1951"/>
      <c r="HD767" s="1951"/>
      <c r="HE767" s="1951"/>
      <c r="HF767" s="1951"/>
      <c r="HG767" s="1951"/>
      <c r="HH767" s="1951"/>
      <c r="HI767" s="1951"/>
      <c r="HJ767" s="1951"/>
      <c r="HK767" s="1951"/>
      <c r="HL767" s="1951"/>
      <c r="HM767" s="1951"/>
      <c r="HN767" s="1951"/>
      <c r="HO767" s="1951"/>
      <c r="HP767" s="1951"/>
      <c r="HQ767" s="1951"/>
      <c r="HR767" s="1951"/>
      <c r="HS767" s="1951"/>
      <c r="HT767" s="1951"/>
      <c r="HU767" s="1951"/>
      <c r="HV767" s="1951"/>
      <c r="HW767" s="1951"/>
      <c r="HX767" s="1951"/>
      <c r="HY767" s="1955"/>
      <c r="HZ767" s="1955"/>
      <c r="IA767" s="1955"/>
      <c r="IB767" s="1955"/>
      <c r="IC767" s="1955"/>
      <c r="ID767" s="1955"/>
      <c r="IE767" s="1955"/>
      <c r="IF767" s="1955"/>
      <c r="IG767" s="1955"/>
      <c r="IH767" s="1955"/>
      <c r="II767" s="1955"/>
      <c r="IJ767" s="1955"/>
      <c r="IK767" s="1955"/>
      <c r="IL767" s="1955"/>
      <c r="IM767" s="1955"/>
      <c r="IN767" s="1955"/>
      <c r="IO767" s="1955"/>
      <c r="IP767" s="1955"/>
      <c r="IQ767" s="1955"/>
      <c r="IR767" s="1955"/>
      <c r="IS767" s="1955"/>
      <c r="IT767" s="1955"/>
      <c r="IU767" s="1955"/>
      <c r="IV767" s="1955"/>
      <c r="IW767" s="1955"/>
      <c r="IX767" s="1955"/>
      <c r="IY767" s="1955"/>
      <c r="IZ767" s="1955"/>
      <c r="JA767" s="1955"/>
      <c r="JB767" s="1955"/>
      <c r="JC767" s="1955"/>
      <c r="JD767" s="1955"/>
      <c r="JE767" s="1955"/>
      <c r="JF767" s="1955"/>
      <c r="JG767" s="1955"/>
      <c r="JH767" s="1955"/>
      <c r="JI767" s="1955"/>
      <c r="JJ767" s="1955"/>
      <c r="JK767" s="1955"/>
      <c r="JL767" s="1955"/>
      <c r="JM767" s="1955"/>
      <c r="JN767" s="1955"/>
      <c r="JO767" s="1955"/>
      <c r="JP767" s="1955"/>
      <c r="JQ767" s="1955"/>
      <c r="JR767" s="1955"/>
      <c r="JS767" s="1955"/>
      <c r="JT767" s="1955"/>
      <c r="JU767" s="1955"/>
      <c r="JV767" s="1955"/>
      <c r="JW767" s="1955"/>
      <c r="JX767" s="1955"/>
      <c r="JY767" s="1955"/>
      <c r="JZ767" s="1955"/>
      <c r="KA767" s="1955"/>
      <c r="KB767" s="1955"/>
      <c r="KC767" s="1955"/>
      <c r="KD767" s="1955"/>
      <c r="KE767" s="1955"/>
      <c r="KF767" s="1955"/>
      <c r="KG767" s="1955"/>
      <c r="KH767" s="1955"/>
      <c r="KI767" s="1955"/>
      <c r="KJ767" s="1955"/>
      <c r="KK767" s="1955"/>
      <c r="KL767" s="1955"/>
      <c r="KM767" s="1955"/>
      <c r="KN767" s="1955"/>
      <c r="KO767" s="1955"/>
      <c r="KP767" s="1955"/>
      <c r="KQ767" s="1955"/>
      <c r="KR767" s="1955"/>
      <c r="KS767" s="1955"/>
      <c r="KT767" s="1955"/>
      <c r="KU767" s="1955"/>
      <c r="KV767" s="1311"/>
      <c r="KW767" s="1311"/>
      <c r="KX767" s="1311"/>
      <c r="KY767" s="1311"/>
      <c r="KZ767" s="1311"/>
      <c r="LA767" s="1311"/>
      <c r="LB767" s="1311"/>
      <c r="LC767" s="1311"/>
      <c r="LD767" s="1311"/>
      <c r="LE767" s="1311"/>
      <c r="LF767" s="1951"/>
      <c r="LG767" s="1951"/>
      <c r="LH767" s="1951"/>
      <c r="LI767" s="1951"/>
      <c r="LJ767" s="1951"/>
      <c r="LK767" s="1951"/>
      <c r="LL767" s="1951"/>
      <c r="LM767" s="1951"/>
      <c r="LN767" s="1951"/>
      <c r="LO767" s="1951"/>
      <c r="LP767" s="1951"/>
      <c r="LQ767" s="1951"/>
      <c r="LR767" s="1951"/>
      <c r="LS767" s="1951"/>
      <c r="LT767" s="1951"/>
      <c r="LU767" s="1951"/>
      <c r="LV767" s="1951"/>
      <c r="LW767" s="1951"/>
      <c r="LX767" s="1951"/>
      <c r="LY767" s="1951"/>
      <c r="LZ767" s="1951"/>
      <c r="MA767" s="1951"/>
      <c r="MB767" s="1951"/>
      <c r="MC767" s="1951"/>
      <c r="MD767" s="1951"/>
      <c r="ME767" s="1951"/>
      <c r="MF767" s="1951"/>
      <c r="MG767" s="1951"/>
      <c r="MH767" s="1951"/>
      <c r="MI767" s="1951"/>
      <c r="MJ767" s="1785" t="s">
        <v>3353</v>
      </c>
      <c r="MK767" s="1785" t="s">
        <v>3354</v>
      </c>
      <c r="ML767" s="1785" t="s">
        <v>3355</v>
      </c>
      <c r="MM767" s="1785" t="s">
        <v>3356</v>
      </c>
      <c r="MN767" s="1785" t="s">
        <v>3357</v>
      </c>
      <c r="MO767" s="1951" t="s">
        <v>3367</v>
      </c>
      <c r="MP767" s="1951" t="s">
        <v>3369</v>
      </c>
      <c r="MQ767" s="1951" t="s">
        <v>3370</v>
      </c>
      <c r="MR767" s="1951" t="s">
        <v>3371</v>
      </c>
      <c r="MS767" s="1951" t="s">
        <v>3372</v>
      </c>
    </row>
    <row r="768" spans="1:357" ht="12.75" customHeight="1">
      <c r="A768" s="1960"/>
      <c r="B768" s="1963" t="s">
        <v>1781</v>
      </c>
      <c r="C768" s="1311"/>
      <c r="D768" s="1311"/>
      <c r="E768" s="1311"/>
      <c r="F768" s="1955" t="str">
        <f>'Part VI-Revenues &amp; Expenses'!F6</f>
        <v>&lt;Select&gt;</v>
      </c>
      <c r="G768" s="1958" t="s">
        <v>3565</v>
      </c>
      <c r="H768" s="1894" t="s">
        <v>3754</v>
      </c>
      <c r="I768" s="1958" t="s">
        <v>786</v>
      </c>
      <c r="J768" s="1958" t="s">
        <v>3568</v>
      </c>
      <c r="K768" s="1962"/>
      <c r="L768" s="1962"/>
      <c r="M768" s="1964" t="str">
        <f>'Part I-Project Information'!$O$40</f>
        <v>Atlanta-Sandy Springs-Marietta</v>
      </c>
      <c r="N768" s="1964"/>
      <c r="O768" s="1965">
        <f>VLOOKUP('Part I-Project Information'!$O$40,'DCA Underwriting Assumptions'!$C$158:$D$268,2)</f>
        <v>74800</v>
      </c>
      <c r="P768" s="1894"/>
      <c r="Q768" s="1959"/>
      <c r="R768" s="1311"/>
      <c r="S768" s="1311" t="s">
        <v>2660</v>
      </c>
      <c r="T768" s="1311"/>
      <c r="U768" s="1311"/>
      <c r="V768" s="1311"/>
      <c r="W768" s="1894"/>
      <c r="X768" s="1894"/>
      <c r="Y768" s="1894"/>
      <c r="Z768" s="1894"/>
      <c r="AA768" s="1894"/>
      <c r="AB768" s="1894"/>
      <c r="AC768" s="1894"/>
      <c r="AD768" s="1894"/>
      <c r="AE768" s="1894"/>
      <c r="AF768" s="1894"/>
      <c r="AG768" s="1894"/>
      <c r="AH768" s="1894"/>
      <c r="AI768" s="1894"/>
      <c r="AJ768" s="1894"/>
      <c r="AK768" s="1894"/>
      <c r="AL768" s="1894"/>
      <c r="AM768" s="1894"/>
      <c r="AN768" s="1894"/>
      <c r="AO768" s="1894"/>
      <c r="AP768" s="1894"/>
      <c r="AQ768" s="1894"/>
      <c r="AR768" s="1894"/>
      <c r="AS768" s="1894"/>
      <c r="AT768" s="1894"/>
      <c r="AU768" s="1894"/>
      <c r="AV768" s="1894"/>
      <c r="AW768" s="1894"/>
      <c r="AX768" s="1894"/>
      <c r="AY768" s="1894"/>
      <c r="AZ768" s="1894"/>
      <c r="BA768" s="1894"/>
      <c r="BB768" s="1894"/>
      <c r="BC768" s="1894"/>
      <c r="BD768" s="1894"/>
      <c r="BE768" s="1894"/>
      <c r="BF768" s="1894"/>
      <c r="BG768" s="1894"/>
      <c r="BH768" s="1894"/>
      <c r="BI768" s="1894"/>
      <c r="BJ768" s="1894"/>
      <c r="BK768" s="1894"/>
      <c r="BL768" s="1894"/>
      <c r="BM768" s="1894"/>
      <c r="BN768" s="1894"/>
      <c r="BO768" s="1894"/>
      <c r="BP768" s="1894"/>
      <c r="BQ768" s="1894"/>
      <c r="BR768" s="1894"/>
      <c r="BS768" s="1894"/>
      <c r="BT768" s="1894"/>
      <c r="BU768" s="1894"/>
      <c r="BV768" s="1894"/>
      <c r="BW768" s="1894"/>
      <c r="BX768" s="1894"/>
      <c r="BY768" s="1894"/>
      <c r="BZ768" s="1894"/>
      <c r="CA768" s="1894"/>
      <c r="CB768" s="1894"/>
      <c r="CC768" s="1894"/>
      <c r="CD768" s="1894"/>
      <c r="CE768" s="1894"/>
      <c r="CF768" s="1894"/>
      <c r="CG768" s="1894"/>
      <c r="CH768" s="1894"/>
      <c r="CI768" s="1894"/>
      <c r="CJ768" s="1894"/>
      <c r="CK768" s="1894"/>
      <c r="CL768" s="1894"/>
      <c r="CM768" s="1894"/>
      <c r="CN768" s="1894"/>
      <c r="CO768" s="1894"/>
      <c r="CP768" s="1894"/>
      <c r="CQ768" s="1894"/>
      <c r="CR768" s="1894"/>
      <c r="CS768" s="1894"/>
      <c r="CT768" s="1894"/>
      <c r="CU768" s="1894"/>
      <c r="CV768" s="1894"/>
      <c r="CW768" s="1894"/>
      <c r="CX768" s="1894"/>
      <c r="CY768" s="1894"/>
      <c r="CZ768" s="1894"/>
      <c r="DA768" s="1894"/>
      <c r="DB768" s="1894"/>
      <c r="DC768" s="1894"/>
      <c r="DD768" s="1894"/>
      <c r="DE768" s="1894"/>
      <c r="DF768" s="1894"/>
      <c r="DG768" s="1894"/>
      <c r="DH768" s="1894"/>
      <c r="DI768" s="1894"/>
      <c r="DJ768" s="1894"/>
      <c r="DK768" s="1894"/>
      <c r="DL768" s="1894"/>
      <c r="DM768" s="1894"/>
      <c r="DN768" s="1894"/>
      <c r="DO768" s="1894"/>
      <c r="DP768" s="1894"/>
      <c r="DQ768" s="1894"/>
      <c r="DR768" s="1894"/>
      <c r="DS768" s="1894"/>
      <c r="DT768" s="1894"/>
      <c r="DU768" s="1894"/>
      <c r="DV768" s="1894"/>
      <c r="DW768" s="1894"/>
      <c r="DX768" s="1894"/>
      <c r="DY768" s="1894"/>
      <c r="DZ768" s="1894"/>
      <c r="EA768" s="1894"/>
      <c r="EB768" s="1894"/>
      <c r="EC768" s="1894"/>
      <c r="ED768" s="1894"/>
      <c r="EE768" s="1894"/>
      <c r="EF768" s="1894"/>
      <c r="EG768" s="1894"/>
      <c r="EH768" s="1894"/>
      <c r="EI768" s="1894"/>
      <c r="EJ768" s="1894"/>
      <c r="EK768" s="1894"/>
      <c r="EL768" s="1894"/>
      <c r="EM768" s="1894"/>
      <c r="EN768" s="1894"/>
      <c r="EO768" s="1894"/>
      <c r="EP768" s="1894"/>
      <c r="EQ768" s="1894"/>
      <c r="ER768" s="1951"/>
      <c r="ES768" s="1951"/>
      <c r="ET768" s="1951"/>
      <c r="EU768" s="1951"/>
      <c r="EV768" s="1951"/>
      <c r="EW768" s="1951"/>
      <c r="EX768" s="1951"/>
      <c r="EY768" s="1951"/>
      <c r="EZ768" s="1951"/>
      <c r="FA768" s="1951"/>
      <c r="FB768" s="1894"/>
      <c r="FC768" s="1894"/>
      <c r="FD768" s="1894"/>
      <c r="FE768" s="1894"/>
      <c r="FF768" s="1894"/>
      <c r="FG768" s="1951"/>
      <c r="FH768" s="1951"/>
      <c r="FI768" s="1951"/>
      <c r="FJ768" s="1951"/>
      <c r="FK768" s="1951"/>
      <c r="FL768" s="1894"/>
      <c r="FM768" s="1894"/>
      <c r="FN768" s="1894"/>
      <c r="FO768" s="1894"/>
      <c r="FP768" s="1894"/>
      <c r="FQ768" s="1951"/>
      <c r="FR768" s="1951"/>
      <c r="FS768" s="1951"/>
      <c r="FT768" s="1951"/>
      <c r="FU768" s="1951"/>
      <c r="FV768" s="1951"/>
      <c r="FW768" s="1951"/>
      <c r="FX768" s="1951"/>
      <c r="FY768" s="1951"/>
      <c r="FZ768" s="1951"/>
      <c r="GA768" s="1951"/>
      <c r="GB768" s="1951"/>
      <c r="GC768" s="1951"/>
      <c r="GD768" s="1951"/>
      <c r="GE768" s="1951"/>
      <c r="GF768" s="1951"/>
      <c r="GG768" s="1951"/>
      <c r="GH768" s="1951"/>
      <c r="GI768" s="1951"/>
      <c r="GJ768" s="1951"/>
      <c r="GK768" s="1951"/>
      <c r="GL768" s="1951"/>
      <c r="GM768" s="1951"/>
      <c r="GN768" s="1951"/>
      <c r="GO768" s="1951"/>
      <c r="GP768" s="1951"/>
      <c r="GQ768" s="1951"/>
      <c r="GR768" s="1951"/>
      <c r="GS768" s="1951"/>
      <c r="GT768" s="1951"/>
      <c r="GU768" s="1951"/>
      <c r="GV768" s="1951"/>
      <c r="GW768" s="1951"/>
      <c r="GX768" s="1951"/>
      <c r="GY768" s="1951"/>
      <c r="GZ768" s="1951"/>
      <c r="HA768" s="1951"/>
      <c r="HB768" s="1951"/>
      <c r="HC768" s="1951"/>
      <c r="HD768" s="1951"/>
      <c r="HE768" s="1951"/>
      <c r="HF768" s="1951"/>
      <c r="HG768" s="1951"/>
      <c r="HH768" s="1951"/>
      <c r="HI768" s="1951"/>
      <c r="HJ768" s="1951"/>
      <c r="HK768" s="1951"/>
      <c r="HL768" s="1951"/>
      <c r="HM768" s="1951"/>
      <c r="HN768" s="1951"/>
      <c r="HO768" s="1951"/>
      <c r="HP768" s="1951"/>
      <c r="HQ768" s="1951"/>
      <c r="HR768" s="1951"/>
      <c r="HS768" s="1951"/>
      <c r="HT768" s="1951"/>
      <c r="HU768" s="1951"/>
      <c r="HV768" s="1951"/>
      <c r="HW768" s="1951"/>
      <c r="HX768" s="1951"/>
      <c r="HY768" s="1955"/>
      <c r="HZ768" s="1955"/>
      <c r="IA768" s="1955"/>
      <c r="IB768" s="1955"/>
      <c r="IC768" s="1955"/>
      <c r="ID768" s="1955"/>
      <c r="IE768" s="1955"/>
      <c r="IF768" s="1955"/>
      <c r="IG768" s="1955"/>
      <c r="IH768" s="1955"/>
      <c r="II768" s="1955"/>
      <c r="IJ768" s="1955"/>
      <c r="IK768" s="1955"/>
      <c r="IL768" s="1955"/>
      <c r="IM768" s="1955"/>
      <c r="IN768" s="1955"/>
      <c r="IO768" s="1955"/>
      <c r="IP768" s="1955"/>
      <c r="IQ768" s="1955"/>
      <c r="IR768" s="1955"/>
      <c r="IS768" s="1955"/>
      <c r="IT768" s="1955"/>
      <c r="IU768" s="1955"/>
      <c r="IV768" s="1955"/>
      <c r="IW768" s="1955"/>
      <c r="IX768" s="1955"/>
      <c r="IY768" s="1955"/>
      <c r="IZ768" s="1955"/>
      <c r="JA768" s="1955"/>
      <c r="JB768" s="1955"/>
      <c r="JC768" s="1955"/>
      <c r="JD768" s="1955"/>
      <c r="JE768" s="1955"/>
      <c r="JF768" s="1955"/>
      <c r="JG768" s="1955"/>
      <c r="JH768" s="1955"/>
      <c r="JI768" s="1955"/>
      <c r="JJ768" s="1955"/>
      <c r="JK768" s="1955"/>
      <c r="JL768" s="1955"/>
      <c r="JM768" s="1955"/>
      <c r="JN768" s="1955"/>
      <c r="JO768" s="1955"/>
      <c r="JP768" s="1955"/>
      <c r="JQ768" s="1955"/>
      <c r="JR768" s="1955"/>
      <c r="JS768" s="1955"/>
      <c r="JT768" s="1955"/>
      <c r="JU768" s="1955"/>
      <c r="JV768" s="1955"/>
      <c r="JW768" s="1955"/>
      <c r="JX768" s="1955"/>
      <c r="JY768" s="1955"/>
      <c r="JZ768" s="1955"/>
      <c r="KA768" s="1955"/>
      <c r="KB768" s="1955"/>
      <c r="KC768" s="1955"/>
      <c r="KD768" s="1955"/>
      <c r="KE768" s="1955"/>
      <c r="KF768" s="1955"/>
      <c r="KG768" s="1955"/>
      <c r="KH768" s="1955"/>
      <c r="KI768" s="1955"/>
      <c r="KJ768" s="1955"/>
      <c r="KK768" s="1955"/>
      <c r="KL768" s="1955"/>
      <c r="KM768" s="1955"/>
      <c r="KN768" s="1955"/>
      <c r="KO768" s="1955"/>
      <c r="KP768" s="1955"/>
      <c r="KQ768" s="1955"/>
      <c r="KR768" s="1955"/>
      <c r="KS768" s="1955"/>
      <c r="KT768" s="1955"/>
      <c r="KU768" s="1955"/>
      <c r="KV768" s="1311"/>
      <c r="KW768" s="1311"/>
      <c r="KX768" s="1311"/>
      <c r="KY768" s="1311"/>
      <c r="KZ768" s="1311"/>
      <c r="LA768" s="1311"/>
      <c r="LB768" s="1311"/>
      <c r="LC768" s="1311"/>
      <c r="LD768" s="1311"/>
      <c r="LE768" s="1311"/>
      <c r="LF768" s="1951"/>
      <c r="LG768" s="1951"/>
      <c r="LH768" s="1951"/>
      <c r="LI768" s="1951"/>
      <c r="LJ768" s="1951"/>
      <c r="LK768" s="1951"/>
      <c r="LL768" s="1951"/>
      <c r="LM768" s="1951"/>
      <c r="LN768" s="1951"/>
      <c r="LO768" s="1951"/>
      <c r="LP768" s="1951"/>
      <c r="LQ768" s="1951"/>
      <c r="LR768" s="1951"/>
      <c r="LS768" s="1951"/>
      <c r="LT768" s="1951"/>
      <c r="LU768" s="1951"/>
      <c r="LV768" s="1951"/>
      <c r="LW768" s="1951"/>
      <c r="LX768" s="1951"/>
      <c r="LY768" s="1951"/>
      <c r="LZ768" s="1951"/>
      <c r="MA768" s="1951"/>
      <c r="MB768" s="1951"/>
      <c r="MC768" s="1951"/>
      <c r="MD768" s="1951"/>
      <c r="ME768" s="1951"/>
      <c r="MF768" s="1951"/>
      <c r="MG768" s="1951"/>
      <c r="MH768" s="1951"/>
      <c r="MI768" s="1951"/>
      <c r="MJ768" s="1785"/>
      <c r="MK768" s="1785"/>
      <c r="ML768" s="1785"/>
      <c r="MM768" s="1785"/>
      <c r="MN768" s="1785"/>
      <c r="MO768" s="1951"/>
      <c r="MP768" s="1951"/>
      <c r="MQ768" s="1951"/>
      <c r="MR768" s="1951"/>
      <c r="MS768" s="1951"/>
    </row>
    <row r="769" spans="1:357">
      <c r="A769" s="1960"/>
      <c r="B769" s="1966" t="s">
        <v>4374</v>
      </c>
      <c r="C769" s="1311"/>
      <c r="D769" s="1311"/>
      <c r="E769" s="1311"/>
      <c r="F769" s="1311"/>
      <c r="G769" s="1958" t="s">
        <v>3566</v>
      </c>
      <c r="H769" s="1894"/>
      <c r="I769" s="1958" t="s">
        <v>787</v>
      </c>
      <c r="J769" s="1958" t="s">
        <v>3569</v>
      </c>
      <c r="K769" s="1785"/>
      <c r="L769" s="1785"/>
      <c r="M769" s="1964"/>
      <c r="N769" s="1964"/>
      <c r="O769" s="1311"/>
      <c r="P769" s="1894"/>
      <c r="Q769" s="1959"/>
      <c r="R769" s="1785"/>
      <c r="S769" s="1785"/>
      <c r="T769" s="1967" t="s">
        <v>2657</v>
      </c>
      <c r="U769" s="1785"/>
      <c r="V769" s="1311"/>
      <c r="W769" s="1894"/>
      <c r="X769" s="1894"/>
      <c r="Y769" s="1894"/>
      <c r="Z769" s="1894"/>
      <c r="AA769" s="1894"/>
      <c r="AB769" s="1894"/>
      <c r="AC769" s="1894"/>
      <c r="AD769" s="1894"/>
      <c r="AE769" s="1894"/>
      <c r="AF769" s="1894"/>
      <c r="AG769" s="1894"/>
      <c r="AH769" s="1894"/>
      <c r="AI769" s="1894"/>
      <c r="AJ769" s="1894"/>
      <c r="AK769" s="1894"/>
      <c r="AL769" s="1894"/>
      <c r="AM769" s="1894"/>
      <c r="AN769" s="1894"/>
      <c r="AO769" s="1894"/>
      <c r="AP769" s="1894"/>
      <c r="AQ769" s="1894"/>
      <c r="AR769" s="1894"/>
      <c r="AS769" s="1894"/>
      <c r="AT769" s="1894"/>
      <c r="AU769" s="1894"/>
      <c r="AV769" s="1894"/>
      <c r="AW769" s="1894"/>
      <c r="AX769" s="1894"/>
      <c r="AY769" s="1894"/>
      <c r="AZ769" s="1894"/>
      <c r="BA769" s="1894"/>
      <c r="BB769" s="1894"/>
      <c r="BC769" s="1894"/>
      <c r="BD769" s="1894"/>
      <c r="BE769" s="1894"/>
      <c r="BF769" s="1894"/>
      <c r="BG769" s="1894"/>
      <c r="BH769" s="1894"/>
      <c r="BI769" s="1894"/>
      <c r="BJ769" s="1894"/>
      <c r="BK769" s="1894"/>
      <c r="BL769" s="1894"/>
      <c r="BM769" s="1894"/>
      <c r="BN769" s="1894"/>
      <c r="BO769" s="1894"/>
      <c r="BP769" s="1894"/>
      <c r="BQ769" s="1894"/>
      <c r="BR769" s="1894"/>
      <c r="BS769" s="1894"/>
      <c r="BT769" s="1894"/>
      <c r="BU769" s="1894"/>
      <c r="BV769" s="1894"/>
      <c r="BW769" s="1894"/>
      <c r="BX769" s="1894"/>
      <c r="BY769" s="1894"/>
      <c r="BZ769" s="1894"/>
      <c r="CA769" s="1894"/>
      <c r="CB769" s="1894"/>
      <c r="CC769" s="1894"/>
      <c r="CD769" s="1894"/>
      <c r="CE769" s="1894"/>
      <c r="CF769" s="1894"/>
      <c r="CG769" s="1894"/>
      <c r="CH769" s="1894"/>
      <c r="CI769" s="1894"/>
      <c r="CJ769" s="1894"/>
      <c r="CK769" s="1894"/>
      <c r="CL769" s="1894"/>
      <c r="CM769" s="1894"/>
      <c r="CN769" s="1894"/>
      <c r="CO769" s="1894"/>
      <c r="CP769" s="1894"/>
      <c r="CQ769" s="1894"/>
      <c r="CR769" s="1894"/>
      <c r="CS769" s="1894"/>
      <c r="CT769" s="1894"/>
      <c r="CU769" s="1894"/>
      <c r="CV769" s="1894"/>
      <c r="CW769" s="1894"/>
      <c r="CX769" s="1894"/>
      <c r="CY769" s="1894"/>
      <c r="CZ769" s="1894"/>
      <c r="DA769" s="1894"/>
      <c r="DB769" s="1894"/>
      <c r="DC769" s="1894"/>
      <c r="DD769" s="1894"/>
      <c r="DE769" s="1894"/>
      <c r="DF769" s="1894"/>
      <c r="DG769" s="1894"/>
      <c r="DH769" s="1894"/>
      <c r="DI769" s="1894"/>
      <c r="DJ769" s="1894"/>
      <c r="DK769" s="1894"/>
      <c r="DL769" s="1894"/>
      <c r="DM769" s="1894"/>
      <c r="DN769" s="1894"/>
      <c r="DO769" s="1894"/>
      <c r="DP769" s="1894"/>
      <c r="DQ769" s="1894"/>
      <c r="DR769" s="1894"/>
      <c r="DS769" s="1894"/>
      <c r="DT769" s="1894"/>
      <c r="DU769" s="1894"/>
      <c r="DV769" s="1894"/>
      <c r="DW769" s="1894"/>
      <c r="DX769" s="1894"/>
      <c r="DY769" s="1894"/>
      <c r="DZ769" s="1894"/>
      <c r="EA769" s="1894"/>
      <c r="EB769" s="1894"/>
      <c r="EC769" s="1894"/>
      <c r="ED769" s="1894"/>
      <c r="EE769" s="1894"/>
      <c r="EF769" s="1894"/>
      <c r="EG769" s="1894"/>
      <c r="EH769" s="1894"/>
      <c r="EI769" s="1894"/>
      <c r="EJ769" s="1894"/>
      <c r="EK769" s="1894"/>
      <c r="EL769" s="1894"/>
      <c r="EM769" s="1894"/>
      <c r="EN769" s="1894"/>
      <c r="EO769" s="1894"/>
      <c r="EP769" s="1894"/>
      <c r="EQ769" s="1894"/>
      <c r="ER769" s="1951"/>
      <c r="ES769" s="1951"/>
      <c r="ET769" s="1951"/>
      <c r="EU769" s="1951"/>
      <c r="EV769" s="1951"/>
      <c r="EW769" s="1951"/>
      <c r="EX769" s="1951"/>
      <c r="EY769" s="1951"/>
      <c r="EZ769" s="1951"/>
      <c r="FA769" s="1951"/>
      <c r="FB769" s="1894"/>
      <c r="FC769" s="1894"/>
      <c r="FD769" s="1894"/>
      <c r="FE769" s="1894"/>
      <c r="FF769" s="1894"/>
      <c r="FG769" s="1951"/>
      <c r="FH769" s="1951"/>
      <c r="FI769" s="1951"/>
      <c r="FJ769" s="1951"/>
      <c r="FK769" s="1951"/>
      <c r="FL769" s="1894"/>
      <c r="FM769" s="1894"/>
      <c r="FN769" s="1894"/>
      <c r="FO769" s="1894"/>
      <c r="FP769" s="1894"/>
      <c r="FQ769" s="1951"/>
      <c r="FR769" s="1951"/>
      <c r="FS769" s="1951"/>
      <c r="FT769" s="1951"/>
      <c r="FU769" s="1951"/>
      <c r="FV769" s="1951"/>
      <c r="FW769" s="1951"/>
      <c r="FX769" s="1951"/>
      <c r="FY769" s="1951"/>
      <c r="FZ769" s="1951"/>
      <c r="GA769" s="1951"/>
      <c r="GB769" s="1951"/>
      <c r="GC769" s="1951"/>
      <c r="GD769" s="1951"/>
      <c r="GE769" s="1951"/>
      <c r="GF769" s="1951"/>
      <c r="GG769" s="1951"/>
      <c r="GH769" s="1951"/>
      <c r="GI769" s="1951"/>
      <c r="GJ769" s="1951"/>
      <c r="GK769" s="1951"/>
      <c r="GL769" s="1951"/>
      <c r="GM769" s="1951"/>
      <c r="GN769" s="1951"/>
      <c r="GO769" s="1951"/>
      <c r="GP769" s="1951"/>
      <c r="GQ769" s="1951"/>
      <c r="GR769" s="1951"/>
      <c r="GS769" s="1951"/>
      <c r="GT769" s="1951"/>
      <c r="GU769" s="1951"/>
      <c r="GV769" s="1951"/>
      <c r="GW769" s="1951"/>
      <c r="GX769" s="1951"/>
      <c r="GY769" s="1951"/>
      <c r="GZ769" s="1951"/>
      <c r="HA769" s="1951"/>
      <c r="HB769" s="1951"/>
      <c r="HC769" s="1951"/>
      <c r="HD769" s="1951"/>
      <c r="HE769" s="1951"/>
      <c r="HF769" s="1951"/>
      <c r="HG769" s="1951"/>
      <c r="HH769" s="1951"/>
      <c r="HI769" s="1951"/>
      <c r="HJ769" s="1951"/>
      <c r="HK769" s="1951"/>
      <c r="HL769" s="1951"/>
      <c r="HM769" s="1951"/>
      <c r="HN769" s="1951"/>
      <c r="HO769" s="1951"/>
      <c r="HP769" s="1951"/>
      <c r="HQ769" s="1951"/>
      <c r="HR769" s="1951"/>
      <c r="HS769" s="1951"/>
      <c r="HT769" s="1951"/>
      <c r="HU769" s="1951"/>
      <c r="HV769" s="1951"/>
      <c r="HW769" s="1951"/>
      <c r="HX769" s="1951"/>
      <c r="HY769" s="1955"/>
      <c r="HZ769" s="1955"/>
      <c r="IA769" s="1955"/>
      <c r="IB769" s="1955"/>
      <c r="IC769" s="1955"/>
      <c r="ID769" s="1955"/>
      <c r="IE769" s="1955"/>
      <c r="IF769" s="1955"/>
      <c r="IG769" s="1955"/>
      <c r="IH769" s="1955"/>
      <c r="II769" s="1955"/>
      <c r="IJ769" s="1955"/>
      <c r="IK769" s="1955"/>
      <c r="IL769" s="1955"/>
      <c r="IM769" s="1955"/>
      <c r="IN769" s="1955"/>
      <c r="IO769" s="1955"/>
      <c r="IP769" s="1955"/>
      <c r="IQ769" s="1955"/>
      <c r="IR769" s="1955"/>
      <c r="IS769" s="1955"/>
      <c r="IT769" s="1955"/>
      <c r="IU769" s="1955"/>
      <c r="IV769" s="1955"/>
      <c r="IW769" s="1955"/>
      <c r="IX769" s="1953"/>
      <c r="IY769" s="1953"/>
      <c r="IZ769" s="1953"/>
      <c r="JA769" s="1953"/>
      <c r="JB769" s="1953"/>
      <c r="JC769" s="1953"/>
      <c r="JD769" s="1953"/>
      <c r="JE769" s="1953"/>
      <c r="JF769" s="1953"/>
      <c r="JG769" s="1953"/>
      <c r="JH769" s="1953"/>
      <c r="JI769" s="1953"/>
      <c r="JJ769" s="1953"/>
      <c r="JK769" s="1953"/>
      <c r="JL769" s="1953"/>
      <c r="JM769" s="1953"/>
      <c r="JN769" s="1953"/>
      <c r="JO769" s="1953"/>
      <c r="JP769" s="1953"/>
      <c r="JQ769" s="1953"/>
      <c r="JR769" s="1953"/>
      <c r="JS769" s="1953"/>
      <c r="JT769" s="1953"/>
      <c r="JU769" s="1953"/>
      <c r="JV769" s="1953"/>
      <c r="JW769" s="1953"/>
      <c r="JX769" s="1953"/>
      <c r="JY769" s="1953"/>
      <c r="JZ769" s="1953"/>
      <c r="KA769" s="1953"/>
      <c r="KB769" s="1953"/>
      <c r="KC769" s="1953"/>
      <c r="KD769" s="1953"/>
      <c r="KE769" s="1953"/>
      <c r="KF769" s="1953"/>
      <c r="KG769" s="1953"/>
      <c r="KH769" s="1953"/>
      <c r="KI769" s="1953"/>
      <c r="KJ769" s="1953"/>
      <c r="KK769" s="1953"/>
      <c r="KL769" s="1953"/>
      <c r="KM769" s="1953"/>
      <c r="KN769" s="1953"/>
      <c r="KO769" s="1953"/>
      <c r="KP769" s="1953"/>
      <c r="KQ769" s="1953"/>
      <c r="KR769" s="1953"/>
      <c r="KS769" s="1953"/>
      <c r="KT769" s="1953"/>
      <c r="KU769" s="1953"/>
      <c r="KV769" s="1953"/>
      <c r="KW769" s="1953"/>
      <c r="KX769" s="1953"/>
      <c r="KY769" s="1953"/>
      <c r="KZ769" s="1953"/>
      <c r="LA769" s="1953"/>
      <c r="LB769" s="1953"/>
      <c r="LC769" s="1953"/>
      <c r="LD769" s="1953"/>
      <c r="LE769" s="1953"/>
      <c r="LF769" s="1951"/>
      <c r="LG769" s="1951"/>
      <c r="LH769" s="1951"/>
      <c r="LI769" s="1951"/>
      <c r="LJ769" s="1951"/>
      <c r="LK769" s="1951"/>
      <c r="LL769" s="1951"/>
      <c r="LM769" s="1951"/>
      <c r="LN769" s="1951"/>
      <c r="LO769" s="1951"/>
      <c r="LP769" s="1951"/>
      <c r="LQ769" s="1951"/>
      <c r="LR769" s="1951"/>
      <c r="LS769" s="1951"/>
      <c r="LT769" s="1951"/>
      <c r="LU769" s="1951"/>
      <c r="LV769" s="1951"/>
      <c r="LW769" s="1951"/>
      <c r="LX769" s="1951"/>
      <c r="LY769" s="1951"/>
      <c r="LZ769" s="1951"/>
      <c r="MA769" s="1951"/>
      <c r="MB769" s="1951"/>
      <c r="MC769" s="1951"/>
      <c r="MD769" s="1951"/>
      <c r="ME769" s="1951"/>
      <c r="MF769" s="1951"/>
      <c r="MG769" s="1951"/>
      <c r="MH769" s="1951"/>
      <c r="MI769" s="1951"/>
      <c r="MJ769" s="1785"/>
      <c r="MK769" s="1785"/>
      <c r="ML769" s="1785"/>
      <c r="MM769" s="1785"/>
      <c r="MN769" s="1785"/>
      <c r="MO769" s="1951"/>
      <c r="MP769" s="1951"/>
      <c r="MQ769" s="1951"/>
      <c r="MR769" s="1951"/>
      <c r="MS769" s="1951"/>
    </row>
    <row r="770" spans="1:357" ht="12.75" customHeight="1">
      <c r="A770" s="1960"/>
      <c r="B770" s="1958" t="s">
        <v>4375</v>
      </c>
      <c r="C770" s="1958" t="s">
        <v>170</v>
      </c>
      <c r="D770" s="1958" t="s">
        <v>537</v>
      </c>
      <c r="E770" s="1958" t="s">
        <v>1458</v>
      </c>
      <c r="F770" s="1958" t="s">
        <v>1458</v>
      </c>
      <c r="G770" s="1958" t="s">
        <v>1460</v>
      </c>
      <c r="H770" s="1958" t="s">
        <v>3566</v>
      </c>
      <c r="I770" s="1968" t="s">
        <v>4736</v>
      </c>
      <c r="J770" s="1958" t="s">
        <v>5044</v>
      </c>
      <c r="K770" s="1957" t="s">
        <v>143</v>
      </c>
      <c r="L770" s="1957"/>
      <c r="M770" s="1958" t="s">
        <v>2338</v>
      </c>
      <c r="N770" s="1958" t="s">
        <v>524</v>
      </c>
      <c r="O770" s="1958" t="s">
        <v>380</v>
      </c>
      <c r="P770" s="1894"/>
      <c r="Q770" s="1957" t="s">
        <v>3502</v>
      </c>
      <c r="R770" s="1957"/>
      <c r="S770" s="1958" t="s">
        <v>2656</v>
      </c>
      <c r="T770" s="1958" t="s">
        <v>2658</v>
      </c>
      <c r="U770" s="1958"/>
      <c r="V770" s="1203"/>
      <c r="W770" s="1894"/>
      <c r="X770" s="1894"/>
      <c r="Y770" s="1894"/>
      <c r="Z770" s="1894"/>
      <c r="AA770" s="1894"/>
      <c r="AB770" s="1894"/>
      <c r="AC770" s="1894"/>
      <c r="AD770" s="1894"/>
      <c r="AE770" s="1894"/>
      <c r="AF770" s="1894"/>
      <c r="AG770" s="1894"/>
      <c r="AH770" s="1894"/>
      <c r="AI770" s="1894"/>
      <c r="AJ770" s="1894"/>
      <c r="AK770" s="1894"/>
      <c r="AL770" s="1894"/>
      <c r="AM770" s="1894"/>
      <c r="AN770" s="1894"/>
      <c r="AO770" s="1894"/>
      <c r="AP770" s="1894"/>
      <c r="AQ770" s="1894"/>
      <c r="AR770" s="1894"/>
      <c r="AS770" s="1894"/>
      <c r="AT770" s="1894"/>
      <c r="AU770" s="1894"/>
      <c r="AV770" s="1894"/>
      <c r="AW770" s="1894"/>
      <c r="AX770" s="1894"/>
      <c r="AY770" s="1894"/>
      <c r="AZ770" s="1894"/>
      <c r="BA770" s="1894"/>
      <c r="BB770" s="1894"/>
      <c r="BC770" s="1894"/>
      <c r="BD770" s="1894"/>
      <c r="BE770" s="1894"/>
      <c r="BF770" s="1894"/>
      <c r="BG770" s="1894"/>
      <c r="BH770" s="1894"/>
      <c r="BI770" s="1894"/>
      <c r="BJ770" s="1894"/>
      <c r="BK770" s="1894"/>
      <c r="BL770" s="1894"/>
      <c r="BM770" s="1894"/>
      <c r="BN770" s="1894"/>
      <c r="BO770" s="1894"/>
      <c r="BP770" s="1894"/>
      <c r="BQ770" s="1894"/>
      <c r="BR770" s="1894"/>
      <c r="BS770" s="1894"/>
      <c r="BT770" s="1894"/>
      <c r="BU770" s="1894"/>
      <c r="BV770" s="1894"/>
      <c r="BW770" s="1894"/>
      <c r="BX770" s="1894"/>
      <c r="BY770" s="1894"/>
      <c r="BZ770" s="1894"/>
      <c r="CA770" s="1894"/>
      <c r="CB770" s="1894"/>
      <c r="CC770" s="1894"/>
      <c r="CD770" s="1894"/>
      <c r="CE770" s="1894"/>
      <c r="CF770" s="1894"/>
      <c r="CG770" s="1894"/>
      <c r="CH770" s="1894"/>
      <c r="CI770" s="1894"/>
      <c r="CJ770" s="1894"/>
      <c r="CK770" s="1894"/>
      <c r="CL770" s="1894"/>
      <c r="CM770" s="1894"/>
      <c r="CN770" s="1894"/>
      <c r="CO770" s="1894"/>
      <c r="CP770" s="1894"/>
      <c r="CQ770" s="1894"/>
      <c r="CR770" s="1894"/>
      <c r="CS770" s="1894"/>
      <c r="CT770" s="1894"/>
      <c r="CU770" s="1894"/>
      <c r="CV770" s="1894"/>
      <c r="CW770" s="1894"/>
      <c r="CX770" s="1894"/>
      <c r="CY770" s="1894"/>
      <c r="CZ770" s="1894"/>
      <c r="DA770" s="1894"/>
      <c r="DB770" s="1894"/>
      <c r="DC770" s="1894"/>
      <c r="DD770" s="1894"/>
      <c r="DE770" s="1894"/>
      <c r="DF770" s="1894"/>
      <c r="DG770" s="1894"/>
      <c r="DH770" s="1894"/>
      <c r="DI770" s="1894"/>
      <c r="DJ770" s="1894"/>
      <c r="DK770" s="1894"/>
      <c r="DL770" s="1894"/>
      <c r="DM770" s="1894"/>
      <c r="DN770" s="1894"/>
      <c r="DO770" s="1894"/>
      <c r="DP770" s="1894"/>
      <c r="DQ770" s="1894"/>
      <c r="DR770" s="1894"/>
      <c r="DS770" s="1894"/>
      <c r="DT770" s="1894"/>
      <c r="DU770" s="1894"/>
      <c r="DV770" s="1894"/>
      <c r="DW770" s="1894"/>
      <c r="DX770" s="1894"/>
      <c r="DY770" s="1894"/>
      <c r="DZ770" s="1894"/>
      <c r="EA770" s="1894"/>
      <c r="EB770" s="1894"/>
      <c r="EC770" s="1894"/>
      <c r="ED770" s="1894"/>
      <c r="EE770" s="1894"/>
      <c r="EF770" s="1894"/>
      <c r="EG770" s="1894"/>
      <c r="EH770" s="1894"/>
      <c r="EI770" s="1894"/>
      <c r="EJ770" s="1894"/>
      <c r="EK770" s="1894"/>
      <c r="EL770" s="1894"/>
      <c r="EM770" s="1894"/>
      <c r="EN770" s="1894"/>
      <c r="EO770" s="1894"/>
      <c r="EP770" s="1894"/>
      <c r="EQ770" s="1894"/>
      <c r="ER770" s="1951"/>
      <c r="ES770" s="1951"/>
      <c r="ET770" s="1951"/>
      <c r="EU770" s="1951"/>
      <c r="EV770" s="1951"/>
      <c r="EW770" s="1951"/>
      <c r="EX770" s="1951"/>
      <c r="EY770" s="1951"/>
      <c r="EZ770" s="1951"/>
      <c r="FA770" s="1951"/>
      <c r="FB770" s="1894"/>
      <c r="FC770" s="1894"/>
      <c r="FD770" s="1894"/>
      <c r="FE770" s="1894"/>
      <c r="FF770" s="1894"/>
      <c r="FG770" s="1951"/>
      <c r="FH770" s="1951"/>
      <c r="FI770" s="1951"/>
      <c r="FJ770" s="1951"/>
      <c r="FK770" s="1951"/>
      <c r="FL770" s="1894"/>
      <c r="FM770" s="1894"/>
      <c r="FN770" s="1894"/>
      <c r="FO770" s="1894"/>
      <c r="FP770" s="1894"/>
      <c r="FQ770" s="1951"/>
      <c r="FR770" s="1951"/>
      <c r="FS770" s="1951"/>
      <c r="FT770" s="1951"/>
      <c r="FU770" s="1951"/>
      <c r="FV770" s="1951"/>
      <c r="FW770" s="1951"/>
      <c r="FX770" s="1951"/>
      <c r="FY770" s="1951"/>
      <c r="FZ770" s="1951"/>
      <c r="GA770" s="1951"/>
      <c r="GB770" s="1951"/>
      <c r="GC770" s="1951"/>
      <c r="GD770" s="1951"/>
      <c r="GE770" s="1951"/>
      <c r="GF770" s="1951"/>
      <c r="GG770" s="1951"/>
      <c r="GH770" s="1951"/>
      <c r="GI770" s="1951"/>
      <c r="GJ770" s="1951"/>
      <c r="GK770" s="1951"/>
      <c r="GL770" s="1951"/>
      <c r="GM770" s="1951"/>
      <c r="GN770" s="1951"/>
      <c r="GO770" s="1951"/>
      <c r="GP770" s="1951"/>
      <c r="GQ770" s="1951"/>
      <c r="GR770" s="1951"/>
      <c r="GS770" s="1951"/>
      <c r="GT770" s="1951"/>
      <c r="GU770" s="1951"/>
      <c r="GV770" s="1951"/>
      <c r="GW770" s="1951"/>
      <c r="GX770" s="1951"/>
      <c r="GY770" s="1951"/>
      <c r="GZ770" s="1951"/>
      <c r="HA770" s="1951"/>
      <c r="HB770" s="1951"/>
      <c r="HC770" s="1951"/>
      <c r="HD770" s="1951"/>
      <c r="HE770" s="1951"/>
      <c r="HF770" s="1951"/>
      <c r="HG770" s="1951"/>
      <c r="HH770" s="1951"/>
      <c r="HI770" s="1951"/>
      <c r="HJ770" s="1951"/>
      <c r="HK770" s="1951"/>
      <c r="HL770" s="1951"/>
      <c r="HM770" s="1951"/>
      <c r="HN770" s="1951"/>
      <c r="HO770" s="1951"/>
      <c r="HP770" s="1951"/>
      <c r="HQ770" s="1951"/>
      <c r="HR770" s="1951"/>
      <c r="HS770" s="1951"/>
      <c r="HT770" s="1951"/>
      <c r="HU770" s="1951"/>
      <c r="HV770" s="1951"/>
      <c r="HW770" s="1951"/>
      <c r="HX770" s="1951"/>
      <c r="HY770" s="1951" t="s">
        <v>1446</v>
      </c>
      <c r="HZ770" s="1953" t="s">
        <v>2408</v>
      </c>
      <c r="IA770" s="1953" t="s">
        <v>2409</v>
      </c>
      <c r="IB770" s="1953" t="s">
        <v>2410</v>
      </c>
      <c r="IC770" s="1953" t="s">
        <v>2411</v>
      </c>
      <c r="ID770" s="1951" t="s">
        <v>2464</v>
      </c>
      <c r="IE770" s="1951" t="s">
        <v>2464</v>
      </c>
      <c r="IF770" s="1951" t="s">
        <v>2464</v>
      </c>
      <c r="IG770" s="1951" t="s">
        <v>2464</v>
      </c>
      <c r="IH770" s="1951" t="s">
        <v>2464</v>
      </c>
      <c r="II770" s="1951" t="s">
        <v>3309</v>
      </c>
      <c r="IJ770" s="1951" t="s">
        <v>3309</v>
      </c>
      <c r="IK770" s="1951" t="s">
        <v>3309</v>
      </c>
      <c r="IL770" s="1951" t="s">
        <v>3309</v>
      </c>
      <c r="IM770" s="1951" t="s">
        <v>3309</v>
      </c>
      <c r="IN770" s="1953" t="s">
        <v>558</v>
      </c>
      <c r="IO770" s="1953" t="s">
        <v>2408</v>
      </c>
      <c r="IP770" s="1953" t="s">
        <v>2409</v>
      </c>
      <c r="IQ770" s="1953" t="s">
        <v>2410</v>
      </c>
      <c r="IR770" s="1953" t="s">
        <v>2411</v>
      </c>
      <c r="IS770" s="1953" t="s">
        <v>558</v>
      </c>
      <c r="IT770" s="1953" t="s">
        <v>2408</v>
      </c>
      <c r="IU770" s="1953" t="s">
        <v>2409</v>
      </c>
      <c r="IV770" s="1953" t="s">
        <v>2410</v>
      </c>
      <c r="IW770" s="1953" t="s">
        <v>2411</v>
      </c>
      <c r="IX770" s="1951" t="s">
        <v>2466</v>
      </c>
      <c r="IY770" s="1951" t="s">
        <v>2466</v>
      </c>
      <c r="IZ770" s="1951" t="s">
        <v>2466</v>
      </c>
      <c r="JA770" s="1951" t="s">
        <v>2466</v>
      </c>
      <c r="JB770" s="1951" t="s">
        <v>2466</v>
      </c>
      <c r="JC770" s="1951" t="s">
        <v>3305</v>
      </c>
      <c r="JD770" s="1951" t="s">
        <v>3305</v>
      </c>
      <c r="JE770" s="1951" t="s">
        <v>3305</v>
      </c>
      <c r="JF770" s="1951" t="s">
        <v>3305</v>
      </c>
      <c r="JG770" s="1951" t="s">
        <v>3305</v>
      </c>
      <c r="JH770" s="1951" t="s">
        <v>355</v>
      </c>
      <c r="JI770" s="1951" t="s">
        <v>355</v>
      </c>
      <c r="JJ770" s="1951" t="s">
        <v>355</v>
      </c>
      <c r="JK770" s="1951" t="s">
        <v>355</v>
      </c>
      <c r="JL770" s="1951" t="s">
        <v>355</v>
      </c>
      <c r="JM770" s="1951" t="s">
        <v>3304</v>
      </c>
      <c r="JN770" s="1951" t="s">
        <v>3304</v>
      </c>
      <c r="JO770" s="1951" t="s">
        <v>3304</v>
      </c>
      <c r="JP770" s="1951" t="s">
        <v>3304</v>
      </c>
      <c r="JQ770" s="1951" t="s">
        <v>3304</v>
      </c>
      <c r="JR770" s="1951" t="s">
        <v>356</v>
      </c>
      <c r="JS770" s="1951" t="s">
        <v>356</v>
      </c>
      <c r="JT770" s="1951" t="s">
        <v>356</v>
      </c>
      <c r="JU770" s="1951" t="s">
        <v>356</v>
      </c>
      <c r="JV770" s="1951" t="s">
        <v>356</v>
      </c>
      <c r="JW770" s="1951" t="s">
        <v>3303</v>
      </c>
      <c r="JX770" s="1951" t="s">
        <v>3303</v>
      </c>
      <c r="JY770" s="1951" t="s">
        <v>3303</v>
      </c>
      <c r="JZ770" s="1951" t="s">
        <v>3303</v>
      </c>
      <c r="KA770" s="1951" t="s">
        <v>3303</v>
      </c>
      <c r="KB770" s="1951" t="s">
        <v>357</v>
      </c>
      <c r="KC770" s="1951" t="s">
        <v>357</v>
      </c>
      <c r="KD770" s="1951" t="s">
        <v>357</v>
      </c>
      <c r="KE770" s="1951" t="s">
        <v>357</v>
      </c>
      <c r="KF770" s="1951" t="s">
        <v>357</v>
      </c>
      <c r="KG770" s="1951" t="s">
        <v>3306</v>
      </c>
      <c r="KH770" s="1951" t="s">
        <v>3306</v>
      </c>
      <c r="KI770" s="1951" t="s">
        <v>3306</v>
      </c>
      <c r="KJ770" s="1951" t="s">
        <v>3306</v>
      </c>
      <c r="KK770" s="1951" t="s">
        <v>3306</v>
      </c>
      <c r="KL770" s="1951" t="s">
        <v>358</v>
      </c>
      <c r="KM770" s="1951" t="s">
        <v>358</v>
      </c>
      <c r="KN770" s="1951" t="s">
        <v>358</v>
      </c>
      <c r="KO770" s="1951" t="s">
        <v>358</v>
      </c>
      <c r="KP770" s="1951" t="s">
        <v>358</v>
      </c>
      <c r="KQ770" s="1951" t="s">
        <v>3307</v>
      </c>
      <c r="KR770" s="1951" t="s">
        <v>3307</v>
      </c>
      <c r="KS770" s="1951" t="s">
        <v>3307</v>
      </c>
      <c r="KT770" s="1951" t="s">
        <v>3307</v>
      </c>
      <c r="KU770" s="1951" t="s">
        <v>3307</v>
      </c>
      <c r="KV770" s="1951" t="s">
        <v>1445</v>
      </c>
      <c r="KW770" s="1951" t="s">
        <v>1445</v>
      </c>
      <c r="KX770" s="1951" t="s">
        <v>1445</v>
      </c>
      <c r="KY770" s="1951" t="s">
        <v>1445</v>
      </c>
      <c r="KZ770" s="1951" t="s">
        <v>1445</v>
      </c>
      <c r="LA770" s="1951" t="s">
        <v>3308</v>
      </c>
      <c r="LB770" s="1951" t="s">
        <v>3308</v>
      </c>
      <c r="LC770" s="1951" t="s">
        <v>3308</v>
      </c>
      <c r="LD770" s="1951" t="s">
        <v>3308</v>
      </c>
      <c r="LE770" s="1951" t="s">
        <v>3308</v>
      </c>
      <c r="LF770" s="1951"/>
      <c r="LG770" s="1951"/>
      <c r="LH770" s="1951"/>
      <c r="LI770" s="1951"/>
      <c r="LJ770" s="1951"/>
      <c r="LK770" s="1951"/>
      <c r="LL770" s="1951"/>
      <c r="LM770" s="1951"/>
      <c r="LN770" s="1951"/>
      <c r="LO770" s="1951"/>
      <c r="LP770" s="1951"/>
      <c r="LQ770" s="1951"/>
      <c r="LR770" s="1951"/>
      <c r="LS770" s="1951"/>
      <c r="LT770" s="1951"/>
      <c r="LU770" s="1951"/>
      <c r="LV770" s="1951"/>
      <c r="LW770" s="1951"/>
      <c r="LX770" s="1951"/>
      <c r="LY770" s="1951"/>
      <c r="LZ770" s="1951"/>
      <c r="MA770" s="1951"/>
      <c r="MB770" s="1951"/>
      <c r="MC770" s="1951"/>
      <c r="MD770" s="1951"/>
      <c r="ME770" s="1951"/>
      <c r="MF770" s="1951"/>
      <c r="MG770" s="1951"/>
      <c r="MH770" s="1951"/>
      <c r="MI770" s="1951"/>
      <c r="MJ770" s="1785"/>
      <c r="MK770" s="1785"/>
      <c r="ML770" s="1785"/>
      <c r="MM770" s="1785"/>
      <c r="MN770" s="1785"/>
      <c r="MO770" s="1951"/>
      <c r="MP770" s="1951"/>
      <c r="MQ770" s="1951"/>
      <c r="MR770" s="1951"/>
      <c r="MS770" s="1951"/>
    </row>
    <row r="771" spans="1:357">
      <c r="A771" s="1960"/>
      <c r="B771" s="1969" t="s">
        <v>4738</v>
      </c>
      <c r="C771" s="1958" t="s">
        <v>169</v>
      </c>
      <c r="D771" s="1958" t="s">
        <v>171</v>
      </c>
      <c r="E771" s="1958" t="s">
        <v>1459</v>
      </c>
      <c r="F771" s="1958" t="s">
        <v>1264</v>
      </c>
      <c r="G771" s="1958" t="s">
        <v>3567</v>
      </c>
      <c r="H771" s="1958" t="s">
        <v>1460</v>
      </c>
      <c r="I771" s="1968"/>
      <c r="J771" s="1970" t="s">
        <v>347</v>
      </c>
      <c r="K771" s="1958" t="s">
        <v>1512</v>
      </c>
      <c r="L771" s="1958" t="s">
        <v>531</v>
      </c>
      <c r="M771" s="1958" t="s">
        <v>1458</v>
      </c>
      <c r="N771" s="1958" t="s">
        <v>3258</v>
      </c>
      <c r="O771" s="1958" t="s">
        <v>381</v>
      </c>
      <c r="P771" s="1894"/>
      <c r="Q771" s="1958" t="s">
        <v>3503</v>
      </c>
      <c r="R771" s="1958" t="s">
        <v>1027</v>
      </c>
      <c r="S771" s="1958" t="s">
        <v>1460</v>
      </c>
      <c r="T771" s="1958" t="s">
        <v>2659</v>
      </c>
      <c r="U771" s="1860" t="s">
        <v>1820</v>
      </c>
      <c r="V771" s="1860"/>
      <c r="W771" s="1894"/>
      <c r="X771" s="1894"/>
      <c r="Y771" s="1894"/>
      <c r="Z771" s="1894"/>
      <c r="AA771" s="1894"/>
      <c r="AB771" s="1894"/>
      <c r="AC771" s="1894"/>
      <c r="AD771" s="1894"/>
      <c r="AE771" s="1894"/>
      <c r="AF771" s="1894"/>
      <c r="AG771" s="1894"/>
      <c r="AH771" s="1894"/>
      <c r="AI771" s="1894"/>
      <c r="AJ771" s="1894"/>
      <c r="AK771" s="1894"/>
      <c r="AL771" s="1894"/>
      <c r="AM771" s="1894"/>
      <c r="AN771" s="1894"/>
      <c r="AO771" s="1894"/>
      <c r="AP771" s="1894"/>
      <c r="AQ771" s="1894"/>
      <c r="AR771" s="1894"/>
      <c r="AS771" s="1894"/>
      <c r="AT771" s="1894"/>
      <c r="AU771" s="1894"/>
      <c r="AV771" s="1894"/>
      <c r="AW771" s="1894"/>
      <c r="AX771" s="1894"/>
      <c r="AY771" s="1894"/>
      <c r="AZ771" s="1894"/>
      <c r="BA771" s="1894"/>
      <c r="BB771" s="1894"/>
      <c r="BC771" s="1894"/>
      <c r="BD771" s="1894"/>
      <c r="BE771" s="1894"/>
      <c r="BF771" s="1894"/>
      <c r="BG771" s="1894"/>
      <c r="BH771" s="1894"/>
      <c r="BI771" s="1894"/>
      <c r="BJ771" s="1894"/>
      <c r="BK771" s="1894"/>
      <c r="BL771" s="1894"/>
      <c r="BM771" s="1894"/>
      <c r="BN771" s="1894"/>
      <c r="BO771" s="1894"/>
      <c r="BP771" s="1894"/>
      <c r="BQ771" s="1894"/>
      <c r="BR771" s="1894"/>
      <c r="BS771" s="1894"/>
      <c r="BT771" s="1894"/>
      <c r="BU771" s="1894"/>
      <c r="BV771" s="1894"/>
      <c r="BW771" s="1894"/>
      <c r="BX771" s="1894"/>
      <c r="BY771" s="1894"/>
      <c r="BZ771" s="1894"/>
      <c r="CA771" s="1894"/>
      <c r="CB771" s="1894"/>
      <c r="CC771" s="1894"/>
      <c r="CD771" s="1894"/>
      <c r="CE771" s="1894"/>
      <c r="CF771" s="1894"/>
      <c r="CG771" s="1894"/>
      <c r="CH771" s="1894"/>
      <c r="CI771" s="1894"/>
      <c r="CJ771" s="1894"/>
      <c r="CK771" s="1894"/>
      <c r="CL771" s="1894"/>
      <c r="CM771" s="1894"/>
      <c r="CN771" s="1894"/>
      <c r="CO771" s="1894"/>
      <c r="CP771" s="1894"/>
      <c r="CQ771" s="1894"/>
      <c r="CR771" s="1894"/>
      <c r="CS771" s="1894"/>
      <c r="CT771" s="1894"/>
      <c r="CU771" s="1894"/>
      <c r="CV771" s="1894"/>
      <c r="CW771" s="1894"/>
      <c r="CX771" s="1894"/>
      <c r="CY771" s="1894"/>
      <c r="CZ771" s="1894"/>
      <c r="DA771" s="1894"/>
      <c r="DB771" s="1894"/>
      <c r="DC771" s="1894"/>
      <c r="DD771" s="1894"/>
      <c r="DE771" s="1894"/>
      <c r="DF771" s="1894"/>
      <c r="DG771" s="1894"/>
      <c r="DH771" s="1894"/>
      <c r="DI771" s="1894"/>
      <c r="DJ771" s="1894"/>
      <c r="DK771" s="1894"/>
      <c r="DL771" s="1894"/>
      <c r="DM771" s="1894"/>
      <c r="DN771" s="1894"/>
      <c r="DO771" s="1894"/>
      <c r="DP771" s="1894"/>
      <c r="DQ771" s="1894"/>
      <c r="DR771" s="1894"/>
      <c r="DS771" s="1894"/>
      <c r="DT771" s="1894"/>
      <c r="DU771" s="1894"/>
      <c r="DV771" s="1894"/>
      <c r="DW771" s="1894"/>
      <c r="DX771" s="1894"/>
      <c r="DY771" s="1894"/>
      <c r="DZ771" s="1894"/>
      <c r="EA771" s="1894"/>
      <c r="EB771" s="1894"/>
      <c r="EC771" s="1894"/>
      <c r="ED771" s="1894"/>
      <c r="EE771" s="1894"/>
      <c r="EF771" s="1894"/>
      <c r="EG771" s="1894"/>
      <c r="EH771" s="1894"/>
      <c r="EI771" s="1894"/>
      <c r="EJ771" s="1894"/>
      <c r="EK771" s="1894"/>
      <c r="EL771" s="1894"/>
      <c r="EM771" s="1894"/>
      <c r="EN771" s="1894"/>
      <c r="EO771" s="1894"/>
      <c r="EP771" s="1894"/>
      <c r="EQ771" s="1894"/>
      <c r="ER771" s="1951"/>
      <c r="ES771" s="1951"/>
      <c r="ET771" s="1951"/>
      <c r="EU771" s="1951"/>
      <c r="EV771" s="1951"/>
      <c r="EW771" s="1951"/>
      <c r="EX771" s="1951"/>
      <c r="EY771" s="1951"/>
      <c r="EZ771" s="1951"/>
      <c r="FA771" s="1951"/>
      <c r="FB771" s="1894"/>
      <c r="FC771" s="1894"/>
      <c r="FD771" s="1894"/>
      <c r="FE771" s="1894"/>
      <c r="FF771" s="1894"/>
      <c r="FG771" s="1951"/>
      <c r="FH771" s="1951"/>
      <c r="FI771" s="1951"/>
      <c r="FJ771" s="1951"/>
      <c r="FK771" s="1951"/>
      <c r="FL771" s="1894"/>
      <c r="FM771" s="1894"/>
      <c r="FN771" s="1894"/>
      <c r="FO771" s="1894"/>
      <c r="FP771" s="1894"/>
      <c r="FQ771" s="1951"/>
      <c r="FR771" s="1951"/>
      <c r="FS771" s="1951"/>
      <c r="FT771" s="1951"/>
      <c r="FU771" s="1951"/>
      <c r="FV771" s="1951"/>
      <c r="FW771" s="1951"/>
      <c r="FX771" s="1951"/>
      <c r="FY771" s="1951"/>
      <c r="FZ771" s="1951"/>
      <c r="GA771" s="1951"/>
      <c r="GB771" s="1951"/>
      <c r="GC771" s="1951"/>
      <c r="GD771" s="1951"/>
      <c r="GE771" s="1951"/>
      <c r="GF771" s="1951"/>
      <c r="GG771" s="1951"/>
      <c r="GH771" s="1951"/>
      <c r="GI771" s="1951"/>
      <c r="GJ771" s="1951"/>
      <c r="GK771" s="1951"/>
      <c r="GL771" s="1951"/>
      <c r="GM771" s="1951"/>
      <c r="GN771" s="1951"/>
      <c r="GO771" s="1951"/>
      <c r="GP771" s="1951"/>
      <c r="GQ771" s="1951"/>
      <c r="GR771" s="1951"/>
      <c r="GS771" s="1951"/>
      <c r="GT771" s="1951"/>
      <c r="GU771" s="1951"/>
      <c r="GV771" s="1951"/>
      <c r="GW771" s="1951"/>
      <c r="GX771" s="1951"/>
      <c r="GY771" s="1951"/>
      <c r="GZ771" s="1951"/>
      <c r="HA771" s="1951"/>
      <c r="HB771" s="1951"/>
      <c r="HC771" s="1951"/>
      <c r="HD771" s="1951"/>
      <c r="HE771" s="1951"/>
      <c r="HF771" s="1951"/>
      <c r="HG771" s="1951"/>
      <c r="HH771" s="1951"/>
      <c r="HI771" s="1951"/>
      <c r="HJ771" s="1951"/>
      <c r="HK771" s="1951"/>
      <c r="HL771" s="1951"/>
      <c r="HM771" s="1951"/>
      <c r="HN771" s="1951"/>
      <c r="HO771" s="1951"/>
      <c r="HP771" s="1951"/>
      <c r="HQ771" s="1951"/>
      <c r="HR771" s="1951"/>
      <c r="HS771" s="1951"/>
      <c r="HT771" s="1951"/>
      <c r="HU771" s="1951"/>
      <c r="HV771" s="1951"/>
      <c r="HW771" s="1951"/>
      <c r="HX771" s="1951"/>
      <c r="HY771" s="1951"/>
      <c r="HZ771" s="1953" t="s">
        <v>2463</v>
      </c>
      <c r="IA771" s="1953" t="s">
        <v>2463</v>
      </c>
      <c r="IB771" s="1953" t="s">
        <v>2463</v>
      </c>
      <c r="IC771" s="1953" t="s">
        <v>2463</v>
      </c>
      <c r="ID771" s="1951"/>
      <c r="IE771" s="1951"/>
      <c r="IF771" s="1951"/>
      <c r="IG771" s="1951"/>
      <c r="IH771" s="1951"/>
      <c r="II771" s="1951"/>
      <c r="IJ771" s="1951"/>
      <c r="IK771" s="1951"/>
      <c r="IL771" s="1951"/>
      <c r="IM771" s="1951"/>
      <c r="IN771" s="1953" t="s">
        <v>2465</v>
      </c>
      <c r="IO771" s="1953" t="s">
        <v>2465</v>
      </c>
      <c r="IP771" s="1953" t="s">
        <v>2465</v>
      </c>
      <c r="IQ771" s="1953" t="s">
        <v>2465</v>
      </c>
      <c r="IR771" s="1953" t="s">
        <v>2465</v>
      </c>
      <c r="IS771" s="1953" t="s">
        <v>3310</v>
      </c>
      <c r="IT771" s="1953" t="s">
        <v>3310</v>
      </c>
      <c r="IU771" s="1953" t="s">
        <v>3310</v>
      </c>
      <c r="IV771" s="1953" t="s">
        <v>3310</v>
      </c>
      <c r="IW771" s="1953" t="s">
        <v>3310</v>
      </c>
      <c r="IX771" s="1951"/>
      <c r="IY771" s="1951"/>
      <c r="IZ771" s="1951"/>
      <c r="JA771" s="1951"/>
      <c r="JB771" s="1951"/>
      <c r="JC771" s="1951"/>
      <c r="JD771" s="1951"/>
      <c r="JE771" s="1951"/>
      <c r="JF771" s="1951"/>
      <c r="JG771" s="1951"/>
      <c r="JH771" s="1951"/>
      <c r="JI771" s="1951"/>
      <c r="JJ771" s="1951"/>
      <c r="JK771" s="1951"/>
      <c r="JL771" s="1951"/>
      <c r="JM771" s="1951"/>
      <c r="JN771" s="1951"/>
      <c r="JO771" s="1951"/>
      <c r="JP771" s="1951"/>
      <c r="JQ771" s="1951"/>
      <c r="JR771" s="1951"/>
      <c r="JS771" s="1951"/>
      <c r="JT771" s="1951"/>
      <c r="JU771" s="1951"/>
      <c r="JV771" s="1951"/>
      <c r="JW771" s="1951"/>
      <c r="JX771" s="1951"/>
      <c r="JY771" s="1951"/>
      <c r="JZ771" s="1951"/>
      <c r="KA771" s="1951"/>
      <c r="KB771" s="1951"/>
      <c r="KC771" s="1951"/>
      <c r="KD771" s="1951"/>
      <c r="KE771" s="1951"/>
      <c r="KF771" s="1951"/>
      <c r="KG771" s="1951"/>
      <c r="KH771" s="1951"/>
      <c r="KI771" s="1951"/>
      <c r="KJ771" s="1951"/>
      <c r="KK771" s="1951"/>
      <c r="KL771" s="1951"/>
      <c r="KM771" s="1951"/>
      <c r="KN771" s="1951"/>
      <c r="KO771" s="1951"/>
      <c r="KP771" s="1951"/>
      <c r="KQ771" s="1951"/>
      <c r="KR771" s="1951"/>
      <c r="KS771" s="1951"/>
      <c r="KT771" s="1951"/>
      <c r="KU771" s="1951"/>
      <c r="KV771" s="1951"/>
      <c r="KW771" s="1951"/>
      <c r="KX771" s="1951"/>
      <c r="KY771" s="1951"/>
      <c r="KZ771" s="1951"/>
      <c r="LA771" s="1951"/>
      <c r="LB771" s="1951"/>
      <c r="LC771" s="1951"/>
      <c r="LD771" s="1951"/>
      <c r="LE771" s="1951"/>
      <c r="LF771" s="1951"/>
      <c r="LG771" s="1951"/>
      <c r="LH771" s="1951"/>
      <c r="LI771" s="1951"/>
      <c r="LJ771" s="1951"/>
      <c r="LK771" s="1951"/>
      <c r="LL771" s="1951"/>
      <c r="LM771" s="1951"/>
      <c r="LN771" s="1951"/>
      <c r="LO771" s="1951"/>
      <c r="LP771" s="1951"/>
      <c r="LQ771" s="1951"/>
      <c r="LR771" s="1951"/>
      <c r="LS771" s="1951"/>
      <c r="LT771" s="1951"/>
      <c r="LU771" s="1951"/>
      <c r="LV771" s="1951"/>
      <c r="LW771" s="1951"/>
      <c r="LX771" s="1951"/>
      <c r="LY771" s="1951"/>
      <c r="LZ771" s="1951"/>
      <c r="MA771" s="1951"/>
      <c r="MB771" s="1951"/>
      <c r="MC771" s="1951"/>
      <c r="MD771" s="1951"/>
      <c r="ME771" s="1951"/>
      <c r="MF771" s="1951"/>
      <c r="MG771" s="1951"/>
      <c r="MH771" s="1951"/>
      <c r="MI771" s="1951"/>
      <c r="MJ771" s="1785"/>
      <c r="MK771" s="1785"/>
      <c r="ML771" s="1785"/>
      <c r="MM771" s="1785"/>
      <c r="MN771" s="1785"/>
      <c r="MO771" s="1951"/>
      <c r="MP771" s="1951"/>
      <c r="MQ771" s="1951"/>
      <c r="MR771" s="1951"/>
      <c r="MS771" s="1951"/>
    </row>
    <row r="772" spans="1:357">
      <c r="A772" s="1955" t="str">
        <f t="shared" ref="A772:A809" si="0">IF(AND(E772&gt;0,OR(B772="",C772="",D772="",F772="",G772="", H772="",M772="",N772="",O772="",P772="")),1,"")</f>
        <v/>
      </c>
      <c r="B772" s="1971" t="str">
        <f>'Part VI-Revenues &amp; Expenses'!B10</f>
        <v>N/A-CS</v>
      </c>
      <c r="C772" s="1972">
        <f>'Part VI-Revenues &amp; Expenses'!C10</f>
        <v>0</v>
      </c>
      <c r="D772" s="1973">
        <f>'Part VI-Revenues &amp; Expenses'!D10</f>
        <v>0</v>
      </c>
      <c r="E772" s="1974">
        <f>'Part VI-Revenues &amp; Expenses'!E10</f>
        <v>0</v>
      </c>
      <c r="F772" s="1974">
        <f>'Part VI-Revenues &amp; Expenses'!F10</f>
        <v>0</v>
      </c>
      <c r="G772" s="1974">
        <f>'Part VI-Revenues &amp; Expenses'!G10</f>
        <v>0</v>
      </c>
      <c r="H772" s="1974">
        <f>'Part VI-Revenues &amp; Expenses'!H10</f>
        <v>0</v>
      </c>
      <c r="I772" s="1974">
        <f>'Part VI-Revenues &amp; Expenses'!I10</f>
        <v>0</v>
      </c>
      <c r="J772" s="1975">
        <f>'Part VI-Revenues &amp; Expenses'!J10</f>
        <v>0</v>
      </c>
      <c r="K772" s="1976">
        <f t="shared" ref="K772:K809" si="1">MAX(0,H772-I772)</f>
        <v>0</v>
      </c>
      <c r="L772" s="1976">
        <f t="shared" ref="L772:L809" si="2">MAX(0,E772*K772)</f>
        <v>0</v>
      </c>
      <c r="M772" s="1834">
        <f>'Part VI-Revenues &amp; Expenses'!M10</f>
        <v>0</v>
      </c>
      <c r="N772" s="1834">
        <f>'Part VI-Revenues &amp; Expenses'!N10</f>
        <v>0</v>
      </c>
      <c r="O772" s="1834">
        <f>'Part VI-Revenues &amp; Expenses'!O10</f>
        <v>0</v>
      </c>
      <c r="P772" s="1958">
        <f>'Part VI-Revenues &amp; Expenses'!P10</f>
        <v>0</v>
      </c>
      <c r="Q772" s="1977" t="str">
        <f>'Part VI-Revenues &amp; Expenses'!Q10</f>
        <v/>
      </c>
      <c r="R772" s="1978" t="str">
        <f>'Part VI-Revenues &amp; Expenses'!R10</f>
        <v/>
      </c>
      <c r="S772" s="1977">
        <f>'Part VI-Revenues &amp; Expenses'!S10</f>
        <v>0</v>
      </c>
      <c r="T772" s="1978">
        <f>'Part VI-Revenues &amp; Expenses'!T10</f>
        <v>0</v>
      </c>
      <c r="U772" s="1979">
        <f>'Part VI-Revenues &amp; Expenses'!U10:V10</f>
        <v>0</v>
      </c>
      <c r="V772" s="1979"/>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980" t="str">
        <f t="shared" ref="HY772:HY809" si="202">IF(AND($C772="Efficiency", NOT(OR($N772="SF Detached",$N772="Mfd Home",$N772="Duplex",$N772="Townhome"))),$E772,"")</f>
        <v/>
      </c>
      <c r="HZ772" s="1980" t="str">
        <f t="shared" ref="HZ772:HZ809" si="203">IF(AND($C772=1, NOT(OR($N772="SF Detached",$N772="Mfd Home",$N772="Duplex",$N772="Townhome"))),$E772,"")</f>
        <v/>
      </c>
      <c r="IA772" s="1980" t="str">
        <f t="shared" ref="IA772:IA809" si="204">IF(AND($C772=2, NOT(OR($N772="SF Detached",$N772="Mfd Home",$N772="Duplex",$N772="Townhome"))),$E772,"")</f>
        <v/>
      </c>
      <c r="IB772" s="1980" t="str">
        <f t="shared" ref="IB772:IB809" si="205">IF(AND($C772=3, NOT(OR($N772="SF Detached",$N772="Mfd Home",$N772="Duplex",$N772="Townhome"))),$E772,"")</f>
        <v/>
      </c>
      <c r="IC772" s="1980" t="str">
        <f t="shared" ref="IC772:IC809" si="206">IF(AND($C772=4, NOT(OR($N772="SF Detached",$N772="Mfd Home",$N772="Duplex",$N772="Townhome"))),$E772,"")</f>
        <v/>
      </c>
      <c r="ID772" s="1980" t="str">
        <f t="shared" ref="ID772:ID809" si="207">IF(AND($C772="Efficiency", $N772="SF Detached",NOT($P772="Yes")),$E772,"")</f>
        <v/>
      </c>
      <c r="IE772" s="1980" t="str">
        <f t="shared" ref="IE772:IE809" si="208">IF(AND($C772=1, $N772="SF Detached",NOT($P772="Yes")),$E772,"")</f>
        <v/>
      </c>
      <c r="IF772" s="1980" t="str">
        <f t="shared" ref="IF772:IF809" si="209">IF(AND($C772=2, $N772="SF Detached",NOT($P772="Yes")),$E772,"")</f>
        <v/>
      </c>
      <c r="IG772" s="1980" t="str">
        <f t="shared" ref="IG772:IG809" si="210">IF(AND($C772=3, $N772="SF Detached",NOT($P772="Yes")),$E772,"")</f>
        <v/>
      </c>
      <c r="IH772" s="1980" t="str">
        <f t="shared" ref="IH772:IH809" si="211">IF(AND($C772=4, $N772="SF Detached",NOT($P772="Yes")),$E772,"")</f>
        <v/>
      </c>
      <c r="II772" s="1980" t="str">
        <f t="shared" ref="II772:II809" si="212">IF(AND($C772="Efficiency", $N772="SF Detached",$P772="Yes"),$E772,"")</f>
        <v/>
      </c>
      <c r="IJ772" s="1980" t="str">
        <f t="shared" ref="IJ772:IJ809" si="213">IF(AND($C772=1, $N772="SF Detached",$P772="Yes"),$E772,"")</f>
        <v/>
      </c>
      <c r="IK772" s="1980" t="str">
        <f t="shared" ref="IK772:IK809" si="214">IF(AND($C772=2, $N772="SF Detached",$P772="Yes"),$E772,"")</f>
        <v/>
      </c>
      <c r="IL772" s="1980" t="str">
        <f t="shared" ref="IL772:IL809" si="215">IF(AND($C772=3, $N772="SF Detached",$P772="Yes"),$E772,"")</f>
        <v/>
      </c>
      <c r="IM772" s="1980" t="str">
        <f t="shared" ref="IM772:IM809" si="216">IF(AND($C772=4, $N772="SF Detached",$P772="Yes"),$E772,"")</f>
        <v/>
      </c>
      <c r="IN772" s="1980" t="str">
        <f t="shared" ref="IN772:IN809" si="217">IF(AND($C772="Efficiency", $N772="Mfd Home",NOT($P772="Yes")),$E772,"")</f>
        <v/>
      </c>
      <c r="IO772" s="1980" t="str">
        <f t="shared" ref="IO772:IO809" si="218">IF(AND($C772=1, $N772="Mfd Home",NOT($P772="Yes")),$E772,"")</f>
        <v/>
      </c>
      <c r="IP772" s="1980" t="str">
        <f t="shared" ref="IP772:IP809" si="219">IF(AND($C772=2, $N772="Mfd Home",NOT($P772="Yes")),$E772,"")</f>
        <v/>
      </c>
      <c r="IQ772" s="1980" t="str">
        <f t="shared" ref="IQ772:IQ809" si="220">IF(AND($C772=3, $N772="Mfd Home",NOT($P772="Yes")),$E772,"")</f>
        <v/>
      </c>
      <c r="IR772" s="1980" t="str">
        <f t="shared" ref="IR772:IR809" si="221">IF(AND($C772=4, $N772="Mfd Home",NOT($P772="Yes")),$E772,"")</f>
        <v/>
      </c>
      <c r="IS772" s="1980" t="str">
        <f t="shared" ref="IS772:IS809" si="222">IF(AND($C772="Efficiency", $N772="Mfd Home",$P772="Yes"),$E772,"")</f>
        <v/>
      </c>
      <c r="IT772" s="1980" t="str">
        <f t="shared" ref="IT772:IT809" si="223">IF(AND($C772=1, $N772="Mfd Home",$P772="Yes"),$E772,"")</f>
        <v/>
      </c>
      <c r="IU772" s="1980" t="str">
        <f t="shared" ref="IU772:IU809" si="224">IF(AND($C772=2, $N772="Mfd Home",$P772="Yes"),$E772,"")</f>
        <v/>
      </c>
      <c r="IV772" s="1980" t="str">
        <f t="shared" ref="IV772:IV809" si="225">IF(AND($C772=3, $N772="Mfd Home",$P772="Yes"),$E772,"")</f>
        <v/>
      </c>
      <c r="IW772" s="1980" t="str">
        <f t="shared" ref="IW772:IW809" si="226">IF(AND($C772=4, $N772="Mfd Home",$P772="Yes"),$E772,"")</f>
        <v/>
      </c>
      <c r="IX772" s="1980" t="str">
        <f t="shared" ref="IX772:IX809" si="227">IF(AND($C772="Efficiency", $N772="Duplex",NOT($P772="Yes")),$E772,"")</f>
        <v/>
      </c>
      <c r="IY772" s="1980" t="str">
        <f t="shared" ref="IY772:IY809" si="228">IF(AND($C772=1, $N772="Duplex",NOT($P772="Yes")),$E772,"")</f>
        <v/>
      </c>
      <c r="IZ772" s="1980" t="str">
        <f t="shared" ref="IZ772:IZ809" si="229">IF(AND($C772=2, $N772="Duplex",NOT($P772="Yes")),$E772,"")</f>
        <v/>
      </c>
      <c r="JA772" s="1980" t="str">
        <f t="shared" ref="JA772:JA809" si="230">IF(AND($C772=3, $N772="Duplex",NOT($P772="Yes")),$E772,"")</f>
        <v/>
      </c>
      <c r="JB772" s="1980" t="str">
        <f t="shared" ref="JB772:JB809" si="231">IF(AND($C772=4, $N772="Duplex",NOT($P772="Yes")),$E772,"")</f>
        <v/>
      </c>
      <c r="JC772" s="1980" t="str">
        <f t="shared" ref="JC772:JC809" si="232">IF(AND($C772="Efficiency", $N772="Duplex",$P772="Yes"),$E772,"")</f>
        <v/>
      </c>
      <c r="JD772" s="1980" t="str">
        <f t="shared" ref="JD772:JD809" si="233">IF(AND($C772=1, $N772="Duplex",$P772="Yes"),$E772,"")</f>
        <v/>
      </c>
      <c r="JE772" s="1980" t="str">
        <f t="shared" ref="JE772:JE809" si="234">IF(AND($C772=2, $N772="Duplex",$P772="Yes"),$E772,"")</f>
        <v/>
      </c>
      <c r="JF772" s="1980" t="str">
        <f t="shared" ref="JF772:JF809" si="235">IF(AND($C772=3, $N772="Duplex",$P772="Yes"),$E772,"")</f>
        <v/>
      </c>
      <c r="JG772" s="1980" t="str">
        <f t="shared" ref="JG772:JG809" si="236">IF(AND($C772=4, $N772="Duplex",$P772="Yes"),$E772,"")</f>
        <v/>
      </c>
      <c r="JH772" s="1980" t="str">
        <f t="shared" ref="JH772:JH809" si="237">IF(AND($C772="Efficiency", $N772="Townhome",NOT($P772="Yes")),$E772,"")</f>
        <v/>
      </c>
      <c r="JI772" s="1980" t="str">
        <f t="shared" ref="JI772:JI809" si="238">IF(AND($C772=1, $N772="Townhome",NOT($P772="Yes")),$E772,"")</f>
        <v/>
      </c>
      <c r="JJ772" s="1980" t="str">
        <f t="shared" ref="JJ772:JJ809" si="239">IF(AND($C772=2, $N772="Townhome",NOT($P772="Yes")),$E772,"")</f>
        <v/>
      </c>
      <c r="JK772" s="1980" t="str">
        <f t="shared" ref="JK772:JK809" si="240">IF(AND($C772=3, $N772="Townhome",NOT($P772="Yes")),$E772,"")</f>
        <v/>
      </c>
      <c r="JL772" s="1980" t="str">
        <f t="shared" ref="JL772:JL809" si="241">IF(AND($C772=4, $N772="Townhome",NOT($P772="Yes")),$E772,"")</f>
        <v/>
      </c>
      <c r="JM772" s="1980" t="str">
        <f t="shared" ref="JM772:JM809" si="242">IF(AND($C772="Efficiency", $N772="Townhome",$P772="Yes"),$E772,"")</f>
        <v/>
      </c>
      <c r="JN772" s="1980" t="str">
        <f t="shared" ref="JN772:JN809" si="243">IF(AND($C772=1, $N772="Townhome",$P772="Yes"),$E772,"")</f>
        <v/>
      </c>
      <c r="JO772" s="1980" t="str">
        <f t="shared" ref="JO772:JO809" si="244">IF(AND($C772=2, $N772="Townhome",$P772="Yes"),$E772,"")</f>
        <v/>
      </c>
      <c r="JP772" s="1980" t="str">
        <f t="shared" ref="JP772:JP809" si="245">IF(AND($C772=3, $N772="Townhome",$P772="Yes"),$E772,"")</f>
        <v/>
      </c>
      <c r="JQ772" s="1980" t="str">
        <f t="shared" ref="JQ772:JQ809" si="246">IF(AND($C772=4, $N772="Townhome",$P772="Yes"),$E772,"")</f>
        <v/>
      </c>
      <c r="JR772" s="1980" t="str">
        <f t="shared" ref="JR772:JR809" si="247">IF(AND($C772="Efficiency", $N772="1-Story",NOT($P772="Yes")),$E772,"")</f>
        <v/>
      </c>
      <c r="JS772" s="1980" t="str">
        <f t="shared" ref="JS772:JS809" si="248">IF(AND($C772=1, $N772="1-Story",NOT($P772="Yes")),$E772,"")</f>
        <v/>
      </c>
      <c r="JT772" s="1980" t="str">
        <f t="shared" ref="JT772:JT809" si="249">IF(AND($C772=2, $N772="1-Story",NOT($P772="Yes")),$E772,"")</f>
        <v/>
      </c>
      <c r="JU772" s="1980" t="str">
        <f t="shared" ref="JU772:JU809" si="250">IF(AND($C772=3, $N772="1-Story",NOT($P772="Yes")),$E772,"")</f>
        <v/>
      </c>
      <c r="JV772" s="1980" t="str">
        <f t="shared" ref="JV772:JV809" si="251">IF(AND($C772=4, $N772="1-Story",NOT($P772="Yes")),$E772,"")</f>
        <v/>
      </c>
      <c r="JW772" s="1980" t="str">
        <f t="shared" ref="JW772:JW809" si="252">IF(AND($C772="Efficiency", $N772="1-Story",$P772="Yes"),$E772,"")</f>
        <v/>
      </c>
      <c r="JX772" s="1980" t="str">
        <f t="shared" ref="JX772:JX809" si="253">IF(AND($C772=1, $N772="1-Story",$P772="Yes"),$E772,"")</f>
        <v/>
      </c>
      <c r="JY772" s="1980" t="str">
        <f t="shared" ref="JY772:JY809" si="254">IF(AND($C772=2, $N772="1-Story",$P772="Yes"),$E772,"")</f>
        <v/>
      </c>
      <c r="JZ772" s="1980" t="str">
        <f t="shared" ref="JZ772:JZ809" si="255">IF(AND($C772=3, $N772="1-Story",$P772="Yes"),$E772,"")</f>
        <v/>
      </c>
      <c r="KA772" s="1980" t="str">
        <f t="shared" ref="KA772:KA809" si="256">IF(AND($C772=4, $N772="1-Story",$P772="Yes"),$E772,"")</f>
        <v/>
      </c>
      <c r="KB772" s="1980" t="str">
        <f t="shared" ref="KB772:KB809" si="257">IF(AND($C772="Efficiency", $N772="2-Story",NOT($P772="Yes")),$E772,"")</f>
        <v/>
      </c>
      <c r="KC772" s="1980" t="str">
        <f t="shared" ref="KC772:KC809" si="258">IF(AND($C772=1, $N772="2-Story",NOT($P772="Yes")),$E772,"")</f>
        <v/>
      </c>
      <c r="KD772" s="1980" t="str">
        <f t="shared" ref="KD772:KD809" si="259">IF(AND($C772=2, $N772="2-Story",NOT($P772="Yes")),$E772,"")</f>
        <v/>
      </c>
      <c r="KE772" s="1980" t="str">
        <f t="shared" ref="KE772:KE809" si="260">IF(AND($C772=3, $N772="2-Story",NOT($P772="Yes")),$E772,"")</f>
        <v/>
      </c>
      <c r="KF772" s="1980" t="str">
        <f t="shared" ref="KF772:KF809" si="261">IF(AND($C772=4, $N772="2-Story",NOT($P772="Yes")),$E772,"")</f>
        <v/>
      </c>
      <c r="KG772" s="1980" t="str">
        <f t="shared" ref="KG772:KG809" si="262">IF(AND($C772="Efficiency", $N772="2-Story",$P772="Yes"),$E772,"")</f>
        <v/>
      </c>
      <c r="KH772" s="1980" t="str">
        <f t="shared" ref="KH772:KH809" si="263">IF(AND($C772=1, $N772="2-Story",$P772="Yes"),$E772,"")</f>
        <v/>
      </c>
      <c r="KI772" s="1980" t="str">
        <f t="shared" ref="KI772:KI809" si="264">IF(AND($C772=2, $N772="2-Story",$P772="Yes"),$E772,"")</f>
        <v/>
      </c>
      <c r="KJ772" s="1980" t="str">
        <f t="shared" ref="KJ772:KJ809" si="265">IF(AND($C772=3, $N772="2-Story",$P772="Yes"),$E772,"")</f>
        <v/>
      </c>
      <c r="KK772" s="1980" t="str">
        <f t="shared" ref="KK772:KK809" si="266">IF(AND($C772=4, $N772="2-Story",$P772="Yes"),$E772,"")</f>
        <v/>
      </c>
      <c r="KL772" s="1980" t="str">
        <f t="shared" ref="KL772:KL809" si="267">IF(AND($C772="Efficiency", $N772="2-Story Walkup",NOT($P772="Yes")),$E772,"")</f>
        <v/>
      </c>
      <c r="KM772" s="1980" t="str">
        <f t="shared" ref="KM772:KM809" si="268">IF(AND($C772=1, $N772="2-Story Walkup",NOT($P772="Yes")),$E772,"")</f>
        <v/>
      </c>
      <c r="KN772" s="1980" t="str">
        <f t="shared" ref="KN772:KN809" si="269">IF(AND($C772=2, $N772="2-Story Walkup",NOT($P772="Yes")),$E772,"")</f>
        <v/>
      </c>
      <c r="KO772" s="1980" t="str">
        <f t="shared" ref="KO772:KO809" si="270">IF(AND($C772=3, $N772="2-Story Walkup",NOT($P772="Yes")),$E772,"")</f>
        <v/>
      </c>
      <c r="KP772" s="1980" t="str">
        <f t="shared" ref="KP772:KP809" si="271">IF(AND($C772=4, $N772="2-Story Walkup",NOT($P772="Yes")),$E772,"")</f>
        <v/>
      </c>
      <c r="KQ772" s="1980" t="str">
        <f t="shared" ref="KQ772:KQ809" si="272">IF(AND($C772="Efficiency", $N772="2-Story Walkup",$P772="Yes"),$E772,"")</f>
        <v/>
      </c>
      <c r="KR772" s="1980" t="str">
        <f t="shared" ref="KR772:KR809" si="273">IF(AND($C772=1, $N772="2-Story Walkup",$P772="Yes"),$E772,"")</f>
        <v/>
      </c>
      <c r="KS772" s="1980" t="str">
        <f t="shared" ref="KS772:KS809" si="274">IF(AND($C772=2, $N772="2-Story Walkup",$P772="Yes"),$E772,"")</f>
        <v/>
      </c>
      <c r="KT772" s="1980" t="str">
        <f t="shared" ref="KT772:KT809" si="275">IF(AND($C772=3, $N772="2-Story Walkup",$P772="Yes"),$E772,"")</f>
        <v/>
      </c>
      <c r="KU772" s="1980" t="str">
        <f t="shared" ref="KU772:KU809" si="276">IF(AND($C772=4, $N772="2-Story Walkup",$P772="Yes"),$E772,"")</f>
        <v/>
      </c>
      <c r="KV772" s="1980" t="str">
        <f t="shared" ref="KV772:KV809" si="277">IF(AND($C772="Efficiency", $N772="3+ Story",NOT($P772="Yes")),$E772,"")</f>
        <v/>
      </c>
      <c r="KW772" s="1980" t="str">
        <f t="shared" ref="KW772:KW809" si="278">IF(AND($C772=1, $N772="3+ Story",NOT($P772="Yes")),$E772,"")</f>
        <v/>
      </c>
      <c r="KX772" s="1980" t="str">
        <f t="shared" ref="KX772:KX809" si="279">IF(AND($C772=2, $N772="3+ Story",NOT($P772="Yes")),$E772,"")</f>
        <v/>
      </c>
      <c r="KY772" s="1980" t="str">
        <f t="shared" ref="KY772:KY809" si="280">IF(AND($C772=3, $N772="3+ Story",NOT($P772="Yes")),$E772,"")</f>
        <v/>
      </c>
      <c r="KZ772" s="1980" t="str">
        <f t="shared" ref="KZ772:KZ809" si="281">IF(AND($C772=4, $N772="3+ Story",NOT($P772="Yes")),$E772,"")</f>
        <v/>
      </c>
      <c r="LA772" s="1980" t="str">
        <f t="shared" ref="LA772:LA809" si="282">IF(AND($C772="Efficiency", $N772="3+ Story",$P772="Yes"),$E772,"")</f>
        <v/>
      </c>
      <c r="LB772" s="1980" t="str">
        <f t="shared" ref="LB772:LB809" si="283">IF(AND($C772=1, $N772="3+ Story",$P772="Yes"),$E772,"")</f>
        <v/>
      </c>
      <c r="LC772" s="1980" t="str">
        <f t="shared" ref="LC772:LC809" si="284">IF(AND($C772=2, $N772="3+ Story",$P772="Yes"),$E772,"")</f>
        <v/>
      </c>
      <c r="LD772" s="1980" t="str">
        <f t="shared" ref="LD772:LD809" si="285">IF(AND($C772=3, $N772="3+ Story",$P772="Yes"),$E772,"")</f>
        <v/>
      </c>
      <c r="LE772" s="1980" t="str">
        <f t="shared" ref="LE772:LE809" si="286">IF(AND($C772=4, $N772="3+ Story",$P772="Yes"),$E772,"")</f>
        <v/>
      </c>
      <c r="LF772" s="1953" t="str">
        <f t="shared" ref="LF772:LF809" si="287">IF(AND($B772="NSP 120% AMI",$C772="Efficiency", NOT($M772="Common Space")),$E772,"")</f>
        <v/>
      </c>
      <c r="LG772" s="1953" t="str">
        <f t="shared" ref="LG772:LG809" si="288">IF(AND($B772="NSP 120% AMI",$C772=1,NOT($M772="Common Space")),$E772,"")</f>
        <v/>
      </c>
      <c r="LH772" s="1953" t="str">
        <f t="shared" ref="LH772:LH809" si="289">IF(AND($B772="NSP 120% AMI",$C772=2,NOT($M772="Common Space")),$E772,"")</f>
        <v/>
      </c>
      <c r="LI772" s="1953" t="str">
        <f t="shared" ref="LI772:LI809" si="290">IF(AND($B772="NSP 120% AMI",$C772=3,NOT($M772="Common Space")),$E772,"")</f>
        <v/>
      </c>
      <c r="LJ772" s="1953"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953">
        <f>IF(AND($C772="Efficiency",$E772&gt;0,OR($N772="1-Story",$N772="2-Story",$N772="3+ Story",$N772="2-Story Walkup",$N772="Townhome"),OR($O772="Acquisition/Rehab",$O772="Rehabilitation"),NOT($P772="Yes")),$E772,0)</f>
        <v>0</v>
      </c>
      <c r="MF772" s="1953">
        <f>IF(AND($C772=1,$E772&gt;0,OR($N772="1-Story",$N772="2-Story",$N772="3+ Story",$N772="2-Story Walkup",$N772="Townhome"),OR($O772="Acquisition/Rehab",$O772="Rehabilitation"),NOT($P772="Yes")),$E772,0)</f>
        <v>0</v>
      </c>
      <c r="MG772" s="1953">
        <f>IF(AND($C772=2,$E772&gt;0,OR($N772="1-Story",$N772="2-Story",$N772="3+ Story",$N772="2-Story Walkup",$N772="Townhome"),OR($O772="Acquisition/Rehab",$O772="Rehabilitation"),NOT($P772="Yes")),$E772,0)</f>
        <v>0</v>
      </c>
      <c r="MH772" s="1953">
        <f>IF(AND($C772=3,$E772&gt;0,OR($N772="1-Story",$N772="2-Story",$N772="3+ Story",$N772="2-Story Walkup",$N772="Townhome"),OR($O772="Acquisition/Rehab",$O772="Rehabilitation"),NOT($P772="Yes")),$E772,0)</f>
        <v>0</v>
      </c>
      <c r="MI772" s="1953">
        <f>IF(AND($C772=4,$E772&gt;0,OR($N772="1-Story",$N772="2-Story",$N772="3+ Story",$N772="2-Story Walkup",$N772="Townhome"),OR($O772="Acquisition/Rehab",$O772="Rehabilitation"),NOT($P772="Yes")),$E772,0)</f>
        <v>0</v>
      </c>
      <c r="MJ772" s="1953">
        <f>IF(AND($C772="Efficiency",$E772&gt;0,OR($N772="1-Story",$N772="2-Story",$N772="3+ Story",$N772="2-Story Walkup",$N772="Townhome"),$O772="New Construction"),$E772,0)</f>
        <v>0</v>
      </c>
      <c r="MK772" s="1953">
        <f>IF(AND($C772=1,$E772&gt;0,OR($N772="1-Story",$N772="2-Story",$N772="3+ Story",$N772="2-Story Walkup",$N772="Townhome"),$O772="New Construction"),$E772,0)</f>
        <v>0</v>
      </c>
      <c r="ML772" s="1953">
        <f>IF(AND($C772=2,$E772&gt;0,OR($N772="1-Story",$N772="2-Story",$N772="3+ Story",$N772="2-Story Walkup",$N772="Townhome"),$O772="New Construction"),$E772,0)</f>
        <v>0</v>
      </c>
      <c r="MM772" s="1953">
        <f>IF(AND($C772=3,$E772&gt;0,OR($N772="1-Story",$N772="2-Story",$N772="3+ Story",$N772="2-Story Walkup",$N772="Townhome"),$O772="New Construction"),$E772,0)</f>
        <v>0</v>
      </c>
      <c r="MN772" s="1953">
        <f>IF(AND($C772=4,$E772&gt;0,OR($N772="1-Story",$N772="2-Story",$N772="3+ Story",$N772="2-Story Walkup",$N772="Townhome"),$O772="New Construction"),$E772,0)</f>
        <v>0</v>
      </c>
      <c r="MO772" s="1953">
        <f>IF(AND($C772="Efficiency",$E772&gt;0,OR($N772="SF Detached",$N772="Duplex",$N772="Mfd Home"),NOT($P772="Yes")),$E772,0)</f>
        <v>0</v>
      </c>
      <c r="MP772" s="1953">
        <f>IF(AND($C772=1,$E772&gt;0,OR($N772="SF Detached",$N772="Duplex",$N772="Mfd Home"),NOT($P772="Yes")),$E772,0)</f>
        <v>0</v>
      </c>
      <c r="MQ772" s="1953">
        <f>IF(AND($C772=2,$E772&gt;0,OR($N772="SF Detached",$N772="Duplex",$N772="Mfd Home"),NOT($P772="Yes")),$E772,0)</f>
        <v>0</v>
      </c>
      <c r="MR772" s="1953">
        <f>IF(AND($C772=3,$E772&gt;0,OR($N772="SF Detached",$N772="Duplex",$N772="Mfd Home"),NOT($P772="Yes")),$E772,0)</f>
        <v>0</v>
      </c>
      <c r="MS772" s="1953">
        <f>IF(AND($C772=4,$E772&gt;0,OR($N772="SF Detached",$N772="Duplex",$N772="Mfd Home"),NOT($P772="Yes")),$E772,0)</f>
        <v>0</v>
      </c>
    </row>
    <row r="773" spans="1:357">
      <c r="A773" s="1955" t="str">
        <f t="shared" si="0"/>
        <v/>
      </c>
      <c r="B773" s="1971" t="str">
        <f>'Part VI-Revenues &amp; Expenses'!B11</f>
        <v>N/A-CS</v>
      </c>
      <c r="C773" s="1972">
        <f>'Part VI-Revenues &amp; Expenses'!C11</f>
        <v>0</v>
      </c>
      <c r="D773" s="1973">
        <f>'Part VI-Revenues &amp; Expenses'!D11</f>
        <v>0</v>
      </c>
      <c r="E773" s="1974">
        <f>'Part VI-Revenues &amp; Expenses'!E11</f>
        <v>0</v>
      </c>
      <c r="F773" s="1974">
        <f>'Part VI-Revenues &amp; Expenses'!F11</f>
        <v>0</v>
      </c>
      <c r="G773" s="1974">
        <f>'Part VI-Revenues &amp; Expenses'!G11</f>
        <v>0</v>
      </c>
      <c r="H773" s="1974">
        <f>'Part VI-Revenues &amp; Expenses'!H11</f>
        <v>0</v>
      </c>
      <c r="I773" s="1974">
        <f>'Part VI-Revenues &amp; Expenses'!I11</f>
        <v>0</v>
      </c>
      <c r="J773" s="1975">
        <f>'Part VI-Revenues &amp; Expenses'!J11</f>
        <v>0</v>
      </c>
      <c r="K773" s="1976">
        <f t="shared" si="1"/>
        <v>0</v>
      </c>
      <c r="L773" s="1976">
        <f t="shared" si="2"/>
        <v>0</v>
      </c>
      <c r="M773" s="1834">
        <f>'Part VI-Revenues &amp; Expenses'!M11</f>
        <v>0</v>
      </c>
      <c r="N773" s="1834">
        <f>'Part VI-Revenues &amp; Expenses'!N11</f>
        <v>0</v>
      </c>
      <c r="O773" s="1834">
        <f>'Part VI-Revenues &amp; Expenses'!O11</f>
        <v>0</v>
      </c>
      <c r="P773" s="1958">
        <f>'Part VI-Revenues &amp; Expenses'!P11</f>
        <v>0</v>
      </c>
      <c r="Q773" s="1977" t="str">
        <f>'Part VI-Revenues &amp; Expenses'!Q11</f>
        <v/>
      </c>
      <c r="R773" s="1978" t="str">
        <f>'Part VI-Revenues &amp; Expenses'!R11</f>
        <v/>
      </c>
      <c r="S773" s="1977">
        <f>'Part VI-Revenues &amp; Expenses'!S11</f>
        <v>0</v>
      </c>
      <c r="T773" s="1978">
        <f>'Part VI-Revenues &amp; Expenses'!T11</f>
        <v>0</v>
      </c>
      <c r="U773" s="1979">
        <f>'Part VI-Revenues &amp; Expenses'!U11:V11</f>
        <v>0</v>
      </c>
      <c r="V773" s="1979"/>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980" t="str">
        <f t="shared" si="202"/>
        <v/>
      </c>
      <c r="HZ773" s="1980" t="str">
        <f t="shared" si="203"/>
        <v/>
      </c>
      <c r="IA773" s="1980" t="str">
        <f t="shared" si="204"/>
        <v/>
      </c>
      <c r="IB773" s="1980" t="str">
        <f t="shared" si="205"/>
        <v/>
      </c>
      <c r="IC773" s="1980" t="str">
        <f t="shared" si="206"/>
        <v/>
      </c>
      <c r="ID773" s="1980" t="str">
        <f t="shared" si="207"/>
        <v/>
      </c>
      <c r="IE773" s="1980" t="str">
        <f t="shared" si="208"/>
        <v/>
      </c>
      <c r="IF773" s="1980" t="str">
        <f t="shared" si="209"/>
        <v/>
      </c>
      <c r="IG773" s="1980" t="str">
        <f t="shared" si="210"/>
        <v/>
      </c>
      <c r="IH773" s="1980" t="str">
        <f t="shared" si="211"/>
        <v/>
      </c>
      <c r="II773" s="1980" t="str">
        <f t="shared" si="212"/>
        <v/>
      </c>
      <c r="IJ773" s="1980" t="str">
        <f t="shared" si="213"/>
        <v/>
      </c>
      <c r="IK773" s="1980" t="str">
        <f t="shared" si="214"/>
        <v/>
      </c>
      <c r="IL773" s="1980" t="str">
        <f t="shared" si="215"/>
        <v/>
      </c>
      <c r="IM773" s="1980" t="str">
        <f t="shared" si="216"/>
        <v/>
      </c>
      <c r="IN773" s="1980" t="str">
        <f t="shared" si="217"/>
        <v/>
      </c>
      <c r="IO773" s="1980" t="str">
        <f t="shared" si="218"/>
        <v/>
      </c>
      <c r="IP773" s="1980" t="str">
        <f t="shared" si="219"/>
        <v/>
      </c>
      <c r="IQ773" s="1980" t="str">
        <f t="shared" si="220"/>
        <v/>
      </c>
      <c r="IR773" s="1980" t="str">
        <f t="shared" si="221"/>
        <v/>
      </c>
      <c r="IS773" s="1980" t="str">
        <f t="shared" si="222"/>
        <v/>
      </c>
      <c r="IT773" s="1980" t="str">
        <f t="shared" si="223"/>
        <v/>
      </c>
      <c r="IU773" s="1980" t="str">
        <f t="shared" si="224"/>
        <v/>
      </c>
      <c r="IV773" s="1980" t="str">
        <f t="shared" si="225"/>
        <v/>
      </c>
      <c r="IW773" s="1980" t="str">
        <f t="shared" si="226"/>
        <v/>
      </c>
      <c r="IX773" s="1980" t="str">
        <f t="shared" si="227"/>
        <v/>
      </c>
      <c r="IY773" s="1980" t="str">
        <f t="shared" si="228"/>
        <v/>
      </c>
      <c r="IZ773" s="1980" t="str">
        <f t="shared" si="229"/>
        <v/>
      </c>
      <c r="JA773" s="1980" t="str">
        <f t="shared" si="230"/>
        <v/>
      </c>
      <c r="JB773" s="1980" t="str">
        <f t="shared" si="231"/>
        <v/>
      </c>
      <c r="JC773" s="1980" t="str">
        <f t="shared" si="232"/>
        <v/>
      </c>
      <c r="JD773" s="1980" t="str">
        <f t="shared" si="233"/>
        <v/>
      </c>
      <c r="JE773" s="1980" t="str">
        <f t="shared" si="234"/>
        <v/>
      </c>
      <c r="JF773" s="1980" t="str">
        <f t="shared" si="235"/>
        <v/>
      </c>
      <c r="JG773" s="1980" t="str">
        <f t="shared" si="236"/>
        <v/>
      </c>
      <c r="JH773" s="1980" t="str">
        <f t="shared" si="237"/>
        <v/>
      </c>
      <c r="JI773" s="1980" t="str">
        <f t="shared" si="238"/>
        <v/>
      </c>
      <c r="JJ773" s="1980" t="str">
        <f t="shared" si="239"/>
        <v/>
      </c>
      <c r="JK773" s="1980" t="str">
        <f t="shared" si="240"/>
        <v/>
      </c>
      <c r="JL773" s="1980" t="str">
        <f t="shared" si="241"/>
        <v/>
      </c>
      <c r="JM773" s="1980" t="str">
        <f t="shared" si="242"/>
        <v/>
      </c>
      <c r="JN773" s="1980" t="str">
        <f t="shared" si="243"/>
        <v/>
      </c>
      <c r="JO773" s="1980" t="str">
        <f t="shared" si="244"/>
        <v/>
      </c>
      <c r="JP773" s="1980" t="str">
        <f t="shared" si="245"/>
        <v/>
      </c>
      <c r="JQ773" s="1980" t="str">
        <f t="shared" si="246"/>
        <v/>
      </c>
      <c r="JR773" s="1980" t="str">
        <f t="shared" si="247"/>
        <v/>
      </c>
      <c r="JS773" s="1980" t="str">
        <f t="shared" si="248"/>
        <v/>
      </c>
      <c r="JT773" s="1980" t="str">
        <f t="shared" si="249"/>
        <v/>
      </c>
      <c r="JU773" s="1980" t="str">
        <f t="shared" si="250"/>
        <v/>
      </c>
      <c r="JV773" s="1980" t="str">
        <f t="shared" si="251"/>
        <v/>
      </c>
      <c r="JW773" s="1980" t="str">
        <f t="shared" si="252"/>
        <v/>
      </c>
      <c r="JX773" s="1980" t="str">
        <f t="shared" si="253"/>
        <v/>
      </c>
      <c r="JY773" s="1980" t="str">
        <f t="shared" si="254"/>
        <v/>
      </c>
      <c r="JZ773" s="1980" t="str">
        <f t="shared" si="255"/>
        <v/>
      </c>
      <c r="KA773" s="1980" t="str">
        <f t="shared" si="256"/>
        <v/>
      </c>
      <c r="KB773" s="1980" t="str">
        <f t="shared" si="257"/>
        <v/>
      </c>
      <c r="KC773" s="1980" t="str">
        <f t="shared" si="258"/>
        <v/>
      </c>
      <c r="KD773" s="1980" t="str">
        <f t="shared" si="259"/>
        <v/>
      </c>
      <c r="KE773" s="1980" t="str">
        <f t="shared" si="260"/>
        <v/>
      </c>
      <c r="KF773" s="1980" t="str">
        <f t="shared" si="261"/>
        <v/>
      </c>
      <c r="KG773" s="1980" t="str">
        <f t="shared" si="262"/>
        <v/>
      </c>
      <c r="KH773" s="1980" t="str">
        <f t="shared" si="263"/>
        <v/>
      </c>
      <c r="KI773" s="1980" t="str">
        <f t="shared" si="264"/>
        <v/>
      </c>
      <c r="KJ773" s="1980" t="str">
        <f t="shared" si="265"/>
        <v/>
      </c>
      <c r="KK773" s="1980" t="str">
        <f t="shared" si="266"/>
        <v/>
      </c>
      <c r="KL773" s="1980" t="str">
        <f t="shared" si="267"/>
        <v/>
      </c>
      <c r="KM773" s="1980" t="str">
        <f t="shared" si="268"/>
        <v/>
      </c>
      <c r="KN773" s="1980" t="str">
        <f t="shared" si="269"/>
        <v/>
      </c>
      <c r="KO773" s="1980" t="str">
        <f t="shared" si="270"/>
        <v/>
      </c>
      <c r="KP773" s="1980" t="str">
        <f t="shared" si="271"/>
        <v/>
      </c>
      <c r="KQ773" s="1980" t="str">
        <f t="shared" si="272"/>
        <v/>
      </c>
      <c r="KR773" s="1980" t="str">
        <f t="shared" si="273"/>
        <v/>
      </c>
      <c r="KS773" s="1980" t="str">
        <f t="shared" si="274"/>
        <v/>
      </c>
      <c r="KT773" s="1980" t="str">
        <f t="shared" si="275"/>
        <v/>
      </c>
      <c r="KU773" s="1980" t="str">
        <f t="shared" si="276"/>
        <v/>
      </c>
      <c r="KV773" s="1980" t="str">
        <f t="shared" si="277"/>
        <v/>
      </c>
      <c r="KW773" s="1980" t="str">
        <f t="shared" si="278"/>
        <v/>
      </c>
      <c r="KX773" s="1980" t="str">
        <f t="shared" si="279"/>
        <v/>
      </c>
      <c r="KY773" s="1980" t="str">
        <f t="shared" si="280"/>
        <v/>
      </c>
      <c r="KZ773" s="1980" t="str">
        <f t="shared" si="281"/>
        <v/>
      </c>
      <c r="LA773" s="1980" t="str">
        <f t="shared" si="282"/>
        <v/>
      </c>
      <c r="LB773" s="1980" t="str">
        <f t="shared" si="283"/>
        <v/>
      </c>
      <c r="LC773" s="1980" t="str">
        <f t="shared" si="284"/>
        <v/>
      </c>
      <c r="LD773" s="1980" t="str">
        <f t="shared" si="285"/>
        <v/>
      </c>
      <c r="LE773" s="1980" t="str">
        <f t="shared" si="286"/>
        <v/>
      </c>
      <c r="LF773" s="1953" t="str">
        <f t="shared" si="287"/>
        <v/>
      </c>
      <c r="LG773" s="1953" t="str">
        <f t="shared" si="288"/>
        <v/>
      </c>
      <c r="LH773" s="1953" t="str">
        <f t="shared" si="289"/>
        <v/>
      </c>
      <c r="LI773" s="1953" t="str">
        <f t="shared" si="290"/>
        <v/>
      </c>
      <c r="LJ773" s="1953"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953">
        <f t="shared" ref="ME773:ME809" si="323">IF(AND($C773="Efficiency",$E773&gt;0,OR($N773="1-Story",$N773="2-Story",$N773="3+ Story",$N773="2-Story Walkup",$N773="Townhome"),OR($O773="Acquisition/Rehab",$O773="Rehabilitation"),NOT($P773="Yes")),$E773,0)</f>
        <v>0</v>
      </c>
      <c r="MF773" s="1953">
        <f t="shared" ref="MF773:MF809" si="324">IF(AND($C773=1,$E773&gt;0,OR($N773="1-Story",$N773="2-Story",$N773="3+ Story",$N773="2-Story Walkup",$N773="Townhome"),OR($O773="Acquisition/Rehab",$O773="Rehabilitation"),NOT($P773="Yes")),$E773,0)</f>
        <v>0</v>
      </c>
      <c r="MG773" s="1953">
        <f t="shared" ref="MG773:MG809" si="325">IF(AND($C773=2,$E773&gt;0,OR($N773="1-Story",$N773="2-Story",$N773="3+ Story",$N773="2-Story Walkup",$N773="Townhome"),OR($O773="Acquisition/Rehab",$O773="Rehabilitation"),NOT($P773="Yes")),$E773,0)</f>
        <v>0</v>
      </c>
      <c r="MH773" s="1953">
        <f t="shared" ref="MH773:MH809" si="326">IF(AND($C773=3,$E773&gt;0,OR($N773="1-Story",$N773="2-Story",$N773="3+ Story",$N773="2-Story Walkup",$N773="Townhome"),OR($O773="Acquisition/Rehab",$O773="Rehabilitation"),NOT($P773="Yes")),$E773,0)</f>
        <v>0</v>
      </c>
      <c r="MI773" s="1953">
        <f t="shared" ref="MI773:MI809" si="327">IF(AND($C773=4,$E773&gt;0,OR($N773="1-Story",$N773="2-Story",$N773="3+ Story",$N773="2-Story Walkup",$N773="Townhome"),OR($O773="Acquisition/Rehab",$O773="Rehabilitation"),NOT($P773="Yes")),$E773,0)</f>
        <v>0</v>
      </c>
      <c r="MJ773" s="1953">
        <f t="shared" ref="MJ773:MJ809" si="328">IF(AND($C773="Efficiency",$E773&gt;0,OR($N773="1-Story",$N773="2-Story",$N773="3+ Story",$N773="2-Story Walkup",$N773="Townhome"),$O773="New Construction"),$E773,0)</f>
        <v>0</v>
      </c>
      <c r="MK773" s="1953">
        <f t="shared" ref="MK773:MK809" si="329">IF(AND($C773=1,$E773&gt;0,OR($N773="1-Story",$N773="2-Story",$N773="3+ Story",$N773="2-Story Walkup",$N773="Townhome"),$O773="New Construction"),$E773,0)</f>
        <v>0</v>
      </c>
      <c r="ML773" s="1953">
        <f t="shared" ref="ML773:ML809" si="330">IF(AND($C773=2,$E773&gt;0,OR($N773="1-Story",$N773="2-Story",$N773="3+ Story",$N773="2-Story Walkup",$N773="Townhome"),$O773="New Construction"),$E773,0)</f>
        <v>0</v>
      </c>
      <c r="MM773" s="1953">
        <f t="shared" ref="MM773:MM809" si="331">IF(AND($C773=3,$E773&gt;0,OR($N773="1-Story",$N773="2-Story",$N773="3+ Story",$N773="2-Story Walkup",$N773="Townhome"),$O773="New Construction"),$E773,0)</f>
        <v>0</v>
      </c>
      <c r="MN773" s="1953">
        <f t="shared" ref="MN773:MN809" si="332">IF(AND($C773=4,$E773&gt;0,OR($N773="1-Story",$N773="2-Story",$N773="3+ Story",$N773="2-Story Walkup",$N773="Townhome"),$O773="New Construction"),$E773,0)</f>
        <v>0</v>
      </c>
      <c r="MO773" s="1953">
        <f t="shared" ref="MO773:MO809" si="333">IF(AND($C773="Efficiency",$E773&gt;0,OR($N773="SF Detached",$N773="Duplex",$N773="Mfd Home"),NOT($P773="Yes")),$E773,0)</f>
        <v>0</v>
      </c>
      <c r="MP773" s="1953">
        <f t="shared" ref="MP773:MP809" si="334">IF(AND($C773=1,$E773&gt;0,OR($N773="SF Detached",$N773="Duplex",$N773="Mfd Home"),NOT($P773="Yes")),$E773,0)</f>
        <v>0</v>
      </c>
      <c r="MQ773" s="1953">
        <f t="shared" ref="MQ773:MQ809" si="335">IF(AND($C773=2,$E773&gt;0,OR($N773="SF Detached",$N773="Duplex",$N773="Mfd Home"),NOT($P773="Yes")),$E773,0)</f>
        <v>0</v>
      </c>
      <c r="MR773" s="1953">
        <f t="shared" ref="MR773:MR809" si="336">IF(AND($C773=3,$E773&gt;0,OR($N773="SF Detached",$N773="Duplex",$N773="Mfd Home"),NOT($P773="Yes")),$E773,0)</f>
        <v>0</v>
      </c>
      <c r="MS773" s="1953">
        <f t="shared" ref="MS773:MS809" si="337">IF(AND($C773=4,$E773&gt;0,OR($N773="SF Detached",$N773="Duplex",$N773="Mfd Home"),NOT($P773="Yes")),$E773,0)</f>
        <v>0</v>
      </c>
    </row>
    <row r="774" spans="1:357">
      <c r="A774" s="1955" t="str">
        <f t="shared" si="0"/>
        <v/>
      </c>
      <c r="B774" s="1971" t="str">
        <f>'Part VI-Revenues &amp; Expenses'!B12</f>
        <v>Unrestricted</v>
      </c>
      <c r="C774" s="1972">
        <f>'Part VI-Revenues &amp; Expenses'!C12</f>
        <v>1</v>
      </c>
      <c r="D774" s="1973">
        <f>'Part VI-Revenues &amp; Expenses'!D12</f>
        <v>1</v>
      </c>
      <c r="E774" s="1974">
        <f>'Part VI-Revenues &amp; Expenses'!E12</f>
        <v>4</v>
      </c>
      <c r="F774" s="1974">
        <f>'Part VI-Revenues &amp; Expenses'!F12</f>
        <v>710</v>
      </c>
      <c r="G774" s="1974">
        <f>'Part VI-Revenues &amp; Expenses'!G12</f>
        <v>0</v>
      </c>
      <c r="H774" s="1974">
        <f>'Part VI-Revenues &amp; Expenses'!H12</f>
        <v>900</v>
      </c>
      <c r="I774" s="1974">
        <f>'Part VI-Revenues &amp; Expenses'!I12</f>
        <v>0</v>
      </c>
      <c r="J774" s="1975">
        <f>'Part VI-Revenues &amp; Expenses'!J12</f>
        <v>0</v>
      </c>
      <c r="K774" s="1976">
        <f t="shared" si="1"/>
        <v>900</v>
      </c>
      <c r="L774" s="1976">
        <f t="shared" si="2"/>
        <v>3600</v>
      </c>
      <c r="M774" s="1834" t="str">
        <f>'Part VI-Revenues &amp; Expenses'!M12</f>
        <v>No</v>
      </c>
      <c r="N774" s="1834" t="str">
        <f>'Part VI-Revenues &amp; Expenses'!N12</f>
        <v>2-Story Walkup</v>
      </c>
      <c r="O774" s="1834" t="str">
        <f>'Part VI-Revenues &amp; Expenses'!O12</f>
        <v>New Construction</v>
      </c>
      <c r="P774" s="1958" t="str">
        <f>'Part VI-Revenues &amp; Expenses'!P12</f>
        <v>No</v>
      </c>
      <c r="Q774" s="1977">
        <f>'Part VI-Revenues &amp; Expenses'!Q12</f>
        <v>36000</v>
      </c>
      <c r="R774" s="1978">
        <f>'Part VI-Revenues &amp; Expenses'!R12</f>
        <v>0.64171122994652408</v>
      </c>
      <c r="S774" s="1977">
        <f>'Part VI-Revenues &amp; Expenses'!S12</f>
        <v>0</v>
      </c>
      <c r="T774" s="1978">
        <f>'Part VI-Revenues &amp; Expenses'!T12</f>
        <v>0</v>
      </c>
      <c r="U774" s="1979">
        <f>'Part VI-Revenues &amp; Expenses'!U12:V12</f>
        <v>0</v>
      </c>
      <c r="V774" s="1979"/>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f t="shared" si="39"/>
        <v>4</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f t="shared" si="143"/>
        <v>2840</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f t="shared" si="163"/>
        <v>4</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980" t="str">
        <f t="shared" si="202"/>
        <v/>
      </c>
      <c r="HZ774" s="1980">
        <f t="shared" si="203"/>
        <v>4</v>
      </c>
      <c r="IA774" s="1980" t="str">
        <f t="shared" si="204"/>
        <v/>
      </c>
      <c r="IB774" s="1980" t="str">
        <f t="shared" si="205"/>
        <v/>
      </c>
      <c r="IC774" s="1980" t="str">
        <f t="shared" si="206"/>
        <v/>
      </c>
      <c r="ID774" s="1980" t="str">
        <f t="shared" si="207"/>
        <v/>
      </c>
      <c r="IE774" s="1980" t="str">
        <f t="shared" si="208"/>
        <v/>
      </c>
      <c r="IF774" s="1980" t="str">
        <f t="shared" si="209"/>
        <v/>
      </c>
      <c r="IG774" s="1980" t="str">
        <f t="shared" si="210"/>
        <v/>
      </c>
      <c r="IH774" s="1980" t="str">
        <f t="shared" si="211"/>
        <v/>
      </c>
      <c r="II774" s="1980" t="str">
        <f t="shared" si="212"/>
        <v/>
      </c>
      <c r="IJ774" s="1980" t="str">
        <f t="shared" si="213"/>
        <v/>
      </c>
      <c r="IK774" s="1980" t="str">
        <f t="shared" si="214"/>
        <v/>
      </c>
      <c r="IL774" s="1980" t="str">
        <f t="shared" si="215"/>
        <v/>
      </c>
      <c r="IM774" s="1980" t="str">
        <f t="shared" si="216"/>
        <v/>
      </c>
      <c r="IN774" s="1980" t="str">
        <f t="shared" si="217"/>
        <v/>
      </c>
      <c r="IO774" s="1980" t="str">
        <f t="shared" si="218"/>
        <v/>
      </c>
      <c r="IP774" s="1980" t="str">
        <f t="shared" si="219"/>
        <v/>
      </c>
      <c r="IQ774" s="1980" t="str">
        <f t="shared" si="220"/>
        <v/>
      </c>
      <c r="IR774" s="1980" t="str">
        <f t="shared" si="221"/>
        <v/>
      </c>
      <c r="IS774" s="1980" t="str">
        <f t="shared" si="222"/>
        <v/>
      </c>
      <c r="IT774" s="1980" t="str">
        <f t="shared" si="223"/>
        <v/>
      </c>
      <c r="IU774" s="1980" t="str">
        <f t="shared" si="224"/>
        <v/>
      </c>
      <c r="IV774" s="1980" t="str">
        <f t="shared" si="225"/>
        <v/>
      </c>
      <c r="IW774" s="1980" t="str">
        <f t="shared" si="226"/>
        <v/>
      </c>
      <c r="IX774" s="1980" t="str">
        <f t="shared" si="227"/>
        <v/>
      </c>
      <c r="IY774" s="1980" t="str">
        <f t="shared" si="228"/>
        <v/>
      </c>
      <c r="IZ774" s="1980" t="str">
        <f t="shared" si="229"/>
        <v/>
      </c>
      <c r="JA774" s="1980" t="str">
        <f t="shared" si="230"/>
        <v/>
      </c>
      <c r="JB774" s="1980" t="str">
        <f t="shared" si="231"/>
        <v/>
      </c>
      <c r="JC774" s="1980" t="str">
        <f t="shared" si="232"/>
        <v/>
      </c>
      <c r="JD774" s="1980" t="str">
        <f t="shared" si="233"/>
        <v/>
      </c>
      <c r="JE774" s="1980" t="str">
        <f t="shared" si="234"/>
        <v/>
      </c>
      <c r="JF774" s="1980" t="str">
        <f t="shared" si="235"/>
        <v/>
      </c>
      <c r="JG774" s="1980" t="str">
        <f t="shared" si="236"/>
        <v/>
      </c>
      <c r="JH774" s="1980" t="str">
        <f t="shared" si="237"/>
        <v/>
      </c>
      <c r="JI774" s="1980" t="str">
        <f t="shared" si="238"/>
        <v/>
      </c>
      <c r="JJ774" s="1980" t="str">
        <f t="shared" si="239"/>
        <v/>
      </c>
      <c r="JK774" s="1980" t="str">
        <f t="shared" si="240"/>
        <v/>
      </c>
      <c r="JL774" s="1980" t="str">
        <f t="shared" si="241"/>
        <v/>
      </c>
      <c r="JM774" s="1980" t="str">
        <f t="shared" si="242"/>
        <v/>
      </c>
      <c r="JN774" s="1980" t="str">
        <f t="shared" si="243"/>
        <v/>
      </c>
      <c r="JO774" s="1980" t="str">
        <f t="shared" si="244"/>
        <v/>
      </c>
      <c r="JP774" s="1980" t="str">
        <f t="shared" si="245"/>
        <v/>
      </c>
      <c r="JQ774" s="1980" t="str">
        <f t="shared" si="246"/>
        <v/>
      </c>
      <c r="JR774" s="1980" t="str">
        <f t="shared" si="247"/>
        <v/>
      </c>
      <c r="JS774" s="1980" t="str">
        <f t="shared" si="248"/>
        <v/>
      </c>
      <c r="JT774" s="1980" t="str">
        <f t="shared" si="249"/>
        <v/>
      </c>
      <c r="JU774" s="1980" t="str">
        <f t="shared" si="250"/>
        <v/>
      </c>
      <c r="JV774" s="1980" t="str">
        <f t="shared" si="251"/>
        <v/>
      </c>
      <c r="JW774" s="1980" t="str">
        <f t="shared" si="252"/>
        <v/>
      </c>
      <c r="JX774" s="1980" t="str">
        <f t="shared" si="253"/>
        <v/>
      </c>
      <c r="JY774" s="1980" t="str">
        <f t="shared" si="254"/>
        <v/>
      </c>
      <c r="JZ774" s="1980" t="str">
        <f t="shared" si="255"/>
        <v/>
      </c>
      <c r="KA774" s="1980" t="str">
        <f t="shared" si="256"/>
        <v/>
      </c>
      <c r="KB774" s="1980" t="str">
        <f t="shared" si="257"/>
        <v/>
      </c>
      <c r="KC774" s="1980" t="str">
        <f t="shared" si="258"/>
        <v/>
      </c>
      <c r="KD774" s="1980" t="str">
        <f t="shared" si="259"/>
        <v/>
      </c>
      <c r="KE774" s="1980" t="str">
        <f t="shared" si="260"/>
        <v/>
      </c>
      <c r="KF774" s="1980" t="str">
        <f t="shared" si="261"/>
        <v/>
      </c>
      <c r="KG774" s="1980" t="str">
        <f t="shared" si="262"/>
        <v/>
      </c>
      <c r="KH774" s="1980" t="str">
        <f t="shared" si="263"/>
        <v/>
      </c>
      <c r="KI774" s="1980" t="str">
        <f t="shared" si="264"/>
        <v/>
      </c>
      <c r="KJ774" s="1980" t="str">
        <f t="shared" si="265"/>
        <v/>
      </c>
      <c r="KK774" s="1980" t="str">
        <f t="shared" si="266"/>
        <v/>
      </c>
      <c r="KL774" s="1980" t="str">
        <f t="shared" si="267"/>
        <v/>
      </c>
      <c r="KM774" s="1980">
        <f t="shared" si="268"/>
        <v>4</v>
      </c>
      <c r="KN774" s="1980" t="str">
        <f t="shared" si="269"/>
        <v/>
      </c>
      <c r="KO774" s="1980" t="str">
        <f t="shared" si="270"/>
        <v/>
      </c>
      <c r="KP774" s="1980" t="str">
        <f t="shared" si="271"/>
        <v/>
      </c>
      <c r="KQ774" s="1980" t="str">
        <f t="shared" si="272"/>
        <v/>
      </c>
      <c r="KR774" s="1980" t="str">
        <f t="shared" si="273"/>
        <v/>
      </c>
      <c r="KS774" s="1980" t="str">
        <f t="shared" si="274"/>
        <v/>
      </c>
      <c r="KT774" s="1980" t="str">
        <f t="shared" si="275"/>
        <v/>
      </c>
      <c r="KU774" s="1980" t="str">
        <f t="shared" si="276"/>
        <v/>
      </c>
      <c r="KV774" s="1980" t="str">
        <f t="shared" si="277"/>
        <v/>
      </c>
      <c r="KW774" s="1980" t="str">
        <f t="shared" si="278"/>
        <v/>
      </c>
      <c r="KX774" s="1980" t="str">
        <f t="shared" si="279"/>
        <v/>
      </c>
      <c r="KY774" s="1980" t="str">
        <f t="shared" si="280"/>
        <v/>
      </c>
      <c r="KZ774" s="1980" t="str">
        <f t="shared" si="281"/>
        <v/>
      </c>
      <c r="LA774" s="1980" t="str">
        <f t="shared" si="282"/>
        <v/>
      </c>
      <c r="LB774" s="1980" t="str">
        <f t="shared" si="283"/>
        <v/>
      </c>
      <c r="LC774" s="1980" t="str">
        <f t="shared" si="284"/>
        <v/>
      </c>
      <c r="LD774" s="1980" t="str">
        <f t="shared" si="285"/>
        <v/>
      </c>
      <c r="LE774" s="1980" t="str">
        <f t="shared" si="286"/>
        <v/>
      </c>
      <c r="LF774" s="1953" t="str">
        <f t="shared" si="287"/>
        <v/>
      </c>
      <c r="LG774" s="1953" t="str">
        <f t="shared" si="288"/>
        <v/>
      </c>
      <c r="LH774" s="1953" t="str">
        <f t="shared" si="289"/>
        <v/>
      </c>
      <c r="LI774" s="1953" t="str">
        <f t="shared" si="290"/>
        <v/>
      </c>
      <c r="LJ774" s="1953"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953">
        <f t="shared" si="323"/>
        <v>0</v>
      </c>
      <c r="MF774" s="1953">
        <f t="shared" si="324"/>
        <v>0</v>
      </c>
      <c r="MG774" s="1953">
        <f t="shared" si="325"/>
        <v>0</v>
      </c>
      <c r="MH774" s="1953">
        <f t="shared" si="326"/>
        <v>0</v>
      </c>
      <c r="MI774" s="1953">
        <f t="shared" si="327"/>
        <v>0</v>
      </c>
      <c r="MJ774" s="1953">
        <f t="shared" si="328"/>
        <v>0</v>
      </c>
      <c r="MK774" s="1953">
        <f t="shared" si="329"/>
        <v>4</v>
      </c>
      <c r="ML774" s="1953">
        <f t="shared" si="330"/>
        <v>0</v>
      </c>
      <c r="MM774" s="1953">
        <f t="shared" si="331"/>
        <v>0</v>
      </c>
      <c r="MN774" s="1953">
        <f t="shared" si="332"/>
        <v>0</v>
      </c>
      <c r="MO774" s="1953">
        <f t="shared" si="333"/>
        <v>0</v>
      </c>
      <c r="MP774" s="1953">
        <f t="shared" si="334"/>
        <v>0</v>
      </c>
      <c r="MQ774" s="1953">
        <f t="shared" si="335"/>
        <v>0</v>
      </c>
      <c r="MR774" s="1953">
        <f t="shared" si="336"/>
        <v>0</v>
      </c>
      <c r="MS774" s="1953">
        <f t="shared" si="337"/>
        <v>0</v>
      </c>
    </row>
    <row r="775" spans="1:357">
      <c r="A775" s="1955" t="str">
        <f t="shared" si="0"/>
        <v/>
      </c>
      <c r="B775" s="1971" t="str">
        <f>'Part VI-Revenues &amp; Expenses'!B13</f>
        <v>Unrestricted</v>
      </c>
      <c r="C775" s="1972">
        <f>'Part VI-Revenues &amp; Expenses'!C13</f>
        <v>2</v>
      </c>
      <c r="D775" s="1973">
        <f>'Part VI-Revenues &amp; Expenses'!D13</f>
        <v>1</v>
      </c>
      <c r="E775" s="1974">
        <f>'Part VI-Revenues &amp; Expenses'!E13</f>
        <v>7</v>
      </c>
      <c r="F775" s="1974">
        <f>'Part VI-Revenues &amp; Expenses'!F13</f>
        <v>950</v>
      </c>
      <c r="G775" s="1974">
        <f>'Part VI-Revenues &amp; Expenses'!G13</f>
        <v>0</v>
      </c>
      <c r="H775" s="1974">
        <f>'Part VI-Revenues &amp; Expenses'!H13</f>
        <v>1050</v>
      </c>
      <c r="I775" s="1974">
        <f>'Part VI-Revenues &amp; Expenses'!I13</f>
        <v>0</v>
      </c>
      <c r="J775" s="1975">
        <f>'Part VI-Revenues &amp; Expenses'!J13</f>
        <v>0</v>
      </c>
      <c r="K775" s="1976">
        <f t="shared" si="1"/>
        <v>1050</v>
      </c>
      <c r="L775" s="1976">
        <f t="shared" si="2"/>
        <v>7350</v>
      </c>
      <c r="M775" s="1834" t="str">
        <f>'Part VI-Revenues &amp; Expenses'!M13</f>
        <v>No</v>
      </c>
      <c r="N775" s="1834" t="str">
        <f>'Part VI-Revenues &amp; Expenses'!N13</f>
        <v>2-Story Walkup</v>
      </c>
      <c r="O775" s="1834" t="str">
        <f>'Part VI-Revenues &amp; Expenses'!O13</f>
        <v>New Construction</v>
      </c>
      <c r="P775" s="1958" t="str">
        <f>'Part VI-Revenues &amp; Expenses'!P13</f>
        <v>No</v>
      </c>
      <c r="Q775" s="1977">
        <f>'Part VI-Revenues &amp; Expenses'!Q13</f>
        <v>42000</v>
      </c>
      <c r="R775" s="1978">
        <f>'Part VI-Revenues &amp; Expenses'!R13</f>
        <v>0.62388591800356508</v>
      </c>
      <c r="S775" s="1977">
        <f>'Part VI-Revenues &amp; Expenses'!S13</f>
        <v>0</v>
      </c>
      <c r="T775" s="1978">
        <f>'Part VI-Revenues &amp; Expenses'!T13</f>
        <v>0</v>
      </c>
      <c r="U775" s="1979">
        <f>'Part VI-Revenues &amp; Expenses'!U13:V13</f>
        <v>0</v>
      </c>
      <c r="V775" s="1979"/>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f t="shared" si="40"/>
        <v>7</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f t="shared" si="144"/>
        <v>6650</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f t="shared" si="164"/>
        <v>7</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980" t="str">
        <f t="shared" si="202"/>
        <v/>
      </c>
      <c r="HZ775" s="1980" t="str">
        <f t="shared" si="203"/>
        <v/>
      </c>
      <c r="IA775" s="1980">
        <f t="shared" si="204"/>
        <v>7</v>
      </c>
      <c r="IB775" s="1980" t="str">
        <f t="shared" si="205"/>
        <v/>
      </c>
      <c r="IC775" s="1980" t="str">
        <f t="shared" si="206"/>
        <v/>
      </c>
      <c r="ID775" s="1980" t="str">
        <f t="shared" si="207"/>
        <v/>
      </c>
      <c r="IE775" s="1980" t="str">
        <f t="shared" si="208"/>
        <v/>
      </c>
      <c r="IF775" s="1980" t="str">
        <f t="shared" si="209"/>
        <v/>
      </c>
      <c r="IG775" s="1980" t="str">
        <f t="shared" si="210"/>
        <v/>
      </c>
      <c r="IH775" s="1980" t="str">
        <f t="shared" si="211"/>
        <v/>
      </c>
      <c r="II775" s="1980" t="str">
        <f t="shared" si="212"/>
        <v/>
      </c>
      <c r="IJ775" s="1980" t="str">
        <f t="shared" si="213"/>
        <v/>
      </c>
      <c r="IK775" s="1980" t="str">
        <f t="shared" si="214"/>
        <v/>
      </c>
      <c r="IL775" s="1980" t="str">
        <f t="shared" si="215"/>
        <v/>
      </c>
      <c r="IM775" s="1980" t="str">
        <f t="shared" si="216"/>
        <v/>
      </c>
      <c r="IN775" s="1980" t="str">
        <f t="shared" si="217"/>
        <v/>
      </c>
      <c r="IO775" s="1980" t="str">
        <f t="shared" si="218"/>
        <v/>
      </c>
      <c r="IP775" s="1980" t="str">
        <f t="shared" si="219"/>
        <v/>
      </c>
      <c r="IQ775" s="1980" t="str">
        <f t="shared" si="220"/>
        <v/>
      </c>
      <c r="IR775" s="1980" t="str">
        <f t="shared" si="221"/>
        <v/>
      </c>
      <c r="IS775" s="1980" t="str">
        <f t="shared" si="222"/>
        <v/>
      </c>
      <c r="IT775" s="1980" t="str">
        <f t="shared" si="223"/>
        <v/>
      </c>
      <c r="IU775" s="1980" t="str">
        <f t="shared" si="224"/>
        <v/>
      </c>
      <c r="IV775" s="1980" t="str">
        <f t="shared" si="225"/>
        <v/>
      </c>
      <c r="IW775" s="1980" t="str">
        <f t="shared" si="226"/>
        <v/>
      </c>
      <c r="IX775" s="1980" t="str">
        <f t="shared" si="227"/>
        <v/>
      </c>
      <c r="IY775" s="1980" t="str">
        <f t="shared" si="228"/>
        <v/>
      </c>
      <c r="IZ775" s="1980" t="str">
        <f t="shared" si="229"/>
        <v/>
      </c>
      <c r="JA775" s="1980" t="str">
        <f t="shared" si="230"/>
        <v/>
      </c>
      <c r="JB775" s="1980" t="str">
        <f t="shared" si="231"/>
        <v/>
      </c>
      <c r="JC775" s="1980" t="str">
        <f t="shared" si="232"/>
        <v/>
      </c>
      <c r="JD775" s="1980" t="str">
        <f t="shared" si="233"/>
        <v/>
      </c>
      <c r="JE775" s="1980" t="str">
        <f t="shared" si="234"/>
        <v/>
      </c>
      <c r="JF775" s="1980" t="str">
        <f t="shared" si="235"/>
        <v/>
      </c>
      <c r="JG775" s="1980" t="str">
        <f t="shared" si="236"/>
        <v/>
      </c>
      <c r="JH775" s="1980" t="str">
        <f t="shared" si="237"/>
        <v/>
      </c>
      <c r="JI775" s="1980" t="str">
        <f t="shared" si="238"/>
        <v/>
      </c>
      <c r="JJ775" s="1980" t="str">
        <f t="shared" si="239"/>
        <v/>
      </c>
      <c r="JK775" s="1980" t="str">
        <f t="shared" si="240"/>
        <v/>
      </c>
      <c r="JL775" s="1980" t="str">
        <f t="shared" si="241"/>
        <v/>
      </c>
      <c r="JM775" s="1980" t="str">
        <f t="shared" si="242"/>
        <v/>
      </c>
      <c r="JN775" s="1980" t="str">
        <f t="shared" si="243"/>
        <v/>
      </c>
      <c r="JO775" s="1980" t="str">
        <f t="shared" si="244"/>
        <v/>
      </c>
      <c r="JP775" s="1980" t="str">
        <f t="shared" si="245"/>
        <v/>
      </c>
      <c r="JQ775" s="1980" t="str">
        <f t="shared" si="246"/>
        <v/>
      </c>
      <c r="JR775" s="1980" t="str">
        <f t="shared" si="247"/>
        <v/>
      </c>
      <c r="JS775" s="1980" t="str">
        <f t="shared" si="248"/>
        <v/>
      </c>
      <c r="JT775" s="1980" t="str">
        <f t="shared" si="249"/>
        <v/>
      </c>
      <c r="JU775" s="1980" t="str">
        <f t="shared" si="250"/>
        <v/>
      </c>
      <c r="JV775" s="1980" t="str">
        <f t="shared" si="251"/>
        <v/>
      </c>
      <c r="JW775" s="1980" t="str">
        <f t="shared" si="252"/>
        <v/>
      </c>
      <c r="JX775" s="1980" t="str">
        <f t="shared" si="253"/>
        <v/>
      </c>
      <c r="JY775" s="1980" t="str">
        <f t="shared" si="254"/>
        <v/>
      </c>
      <c r="JZ775" s="1980" t="str">
        <f t="shared" si="255"/>
        <v/>
      </c>
      <c r="KA775" s="1980" t="str">
        <f t="shared" si="256"/>
        <v/>
      </c>
      <c r="KB775" s="1980" t="str">
        <f t="shared" si="257"/>
        <v/>
      </c>
      <c r="KC775" s="1980" t="str">
        <f t="shared" si="258"/>
        <v/>
      </c>
      <c r="KD775" s="1980" t="str">
        <f t="shared" si="259"/>
        <v/>
      </c>
      <c r="KE775" s="1980" t="str">
        <f t="shared" si="260"/>
        <v/>
      </c>
      <c r="KF775" s="1980" t="str">
        <f t="shared" si="261"/>
        <v/>
      </c>
      <c r="KG775" s="1980" t="str">
        <f t="shared" si="262"/>
        <v/>
      </c>
      <c r="KH775" s="1980" t="str">
        <f t="shared" si="263"/>
        <v/>
      </c>
      <c r="KI775" s="1980" t="str">
        <f t="shared" si="264"/>
        <v/>
      </c>
      <c r="KJ775" s="1980" t="str">
        <f t="shared" si="265"/>
        <v/>
      </c>
      <c r="KK775" s="1980" t="str">
        <f t="shared" si="266"/>
        <v/>
      </c>
      <c r="KL775" s="1980" t="str">
        <f t="shared" si="267"/>
        <v/>
      </c>
      <c r="KM775" s="1980" t="str">
        <f t="shared" si="268"/>
        <v/>
      </c>
      <c r="KN775" s="1980">
        <f t="shared" si="269"/>
        <v>7</v>
      </c>
      <c r="KO775" s="1980" t="str">
        <f t="shared" si="270"/>
        <v/>
      </c>
      <c r="KP775" s="1980" t="str">
        <f t="shared" si="271"/>
        <v/>
      </c>
      <c r="KQ775" s="1980" t="str">
        <f t="shared" si="272"/>
        <v/>
      </c>
      <c r="KR775" s="1980" t="str">
        <f t="shared" si="273"/>
        <v/>
      </c>
      <c r="KS775" s="1980" t="str">
        <f t="shared" si="274"/>
        <v/>
      </c>
      <c r="KT775" s="1980" t="str">
        <f t="shared" si="275"/>
        <v/>
      </c>
      <c r="KU775" s="1980" t="str">
        <f t="shared" si="276"/>
        <v/>
      </c>
      <c r="KV775" s="1980" t="str">
        <f t="shared" si="277"/>
        <v/>
      </c>
      <c r="KW775" s="1980" t="str">
        <f t="shared" si="278"/>
        <v/>
      </c>
      <c r="KX775" s="1980" t="str">
        <f t="shared" si="279"/>
        <v/>
      </c>
      <c r="KY775" s="1980" t="str">
        <f t="shared" si="280"/>
        <v/>
      </c>
      <c r="KZ775" s="1980" t="str">
        <f t="shared" si="281"/>
        <v/>
      </c>
      <c r="LA775" s="1980" t="str">
        <f t="shared" si="282"/>
        <v/>
      </c>
      <c r="LB775" s="1980" t="str">
        <f t="shared" si="283"/>
        <v/>
      </c>
      <c r="LC775" s="1980" t="str">
        <f t="shared" si="284"/>
        <v/>
      </c>
      <c r="LD775" s="1980" t="str">
        <f t="shared" si="285"/>
        <v/>
      </c>
      <c r="LE775" s="1980" t="str">
        <f t="shared" si="286"/>
        <v/>
      </c>
      <c r="LF775" s="1953" t="str">
        <f t="shared" si="287"/>
        <v/>
      </c>
      <c r="LG775" s="1953" t="str">
        <f t="shared" si="288"/>
        <v/>
      </c>
      <c r="LH775" s="1953" t="str">
        <f t="shared" si="289"/>
        <v/>
      </c>
      <c r="LI775" s="1953" t="str">
        <f t="shared" si="290"/>
        <v/>
      </c>
      <c r="LJ775" s="1953"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953">
        <f t="shared" si="323"/>
        <v>0</v>
      </c>
      <c r="MF775" s="1953">
        <f t="shared" si="324"/>
        <v>0</v>
      </c>
      <c r="MG775" s="1953">
        <f t="shared" si="325"/>
        <v>0</v>
      </c>
      <c r="MH775" s="1953">
        <f t="shared" si="326"/>
        <v>0</v>
      </c>
      <c r="MI775" s="1953">
        <f t="shared" si="327"/>
        <v>0</v>
      </c>
      <c r="MJ775" s="1953">
        <f t="shared" si="328"/>
        <v>0</v>
      </c>
      <c r="MK775" s="1953">
        <f t="shared" si="329"/>
        <v>0</v>
      </c>
      <c r="ML775" s="1953">
        <f t="shared" si="330"/>
        <v>7</v>
      </c>
      <c r="MM775" s="1953">
        <f t="shared" si="331"/>
        <v>0</v>
      </c>
      <c r="MN775" s="1953">
        <f t="shared" si="332"/>
        <v>0</v>
      </c>
      <c r="MO775" s="1953">
        <f t="shared" si="333"/>
        <v>0</v>
      </c>
      <c r="MP775" s="1953">
        <f t="shared" si="334"/>
        <v>0</v>
      </c>
      <c r="MQ775" s="1953">
        <f t="shared" si="335"/>
        <v>0</v>
      </c>
      <c r="MR775" s="1953">
        <f t="shared" si="336"/>
        <v>0</v>
      </c>
      <c r="MS775" s="1953">
        <f t="shared" si="337"/>
        <v>0</v>
      </c>
    </row>
    <row r="776" spans="1:357">
      <c r="A776" s="1955" t="str">
        <f t="shared" si="0"/>
        <v/>
      </c>
      <c r="B776" s="1971" t="str">
        <f>'Part VI-Revenues &amp; Expenses'!B14</f>
        <v>Unrestricted</v>
      </c>
      <c r="C776" s="1972">
        <f>'Part VI-Revenues &amp; Expenses'!C14</f>
        <v>3</v>
      </c>
      <c r="D776" s="1973">
        <f>'Part VI-Revenues &amp; Expenses'!D14</f>
        <v>2</v>
      </c>
      <c r="E776" s="1974">
        <f>'Part VI-Revenues &amp; Expenses'!E14</f>
        <v>2</v>
      </c>
      <c r="F776" s="1974">
        <f>'Part VI-Revenues &amp; Expenses'!F14</f>
        <v>1200</v>
      </c>
      <c r="G776" s="1974">
        <f>'Part VI-Revenues &amp; Expenses'!G14</f>
        <v>0</v>
      </c>
      <c r="H776" s="1974">
        <f>'Part VI-Revenues &amp; Expenses'!H14</f>
        <v>1115</v>
      </c>
      <c r="I776" s="1974">
        <f>'Part VI-Revenues &amp; Expenses'!I14</f>
        <v>0</v>
      </c>
      <c r="J776" s="1975">
        <f>'Part VI-Revenues &amp; Expenses'!J14</f>
        <v>0</v>
      </c>
      <c r="K776" s="1976">
        <f t="shared" si="1"/>
        <v>1115</v>
      </c>
      <c r="L776" s="1976">
        <f t="shared" si="2"/>
        <v>2230</v>
      </c>
      <c r="M776" s="1834" t="str">
        <f>'Part VI-Revenues &amp; Expenses'!M14</f>
        <v>No</v>
      </c>
      <c r="N776" s="1834" t="str">
        <f>'Part VI-Revenues &amp; Expenses'!N14</f>
        <v>2-Story Walkup</v>
      </c>
      <c r="O776" s="1834" t="str">
        <f>'Part VI-Revenues &amp; Expenses'!O14</f>
        <v>New Construction</v>
      </c>
      <c r="P776" s="1958" t="str">
        <f>'Part VI-Revenues &amp; Expenses'!P14</f>
        <v>No</v>
      </c>
      <c r="Q776" s="1977">
        <f>'Part VI-Revenues &amp; Expenses'!Q14</f>
        <v>44600</v>
      </c>
      <c r="R776" s="1978">
        <f>'Part VI-Revenues &amp; Expenses'!R14</f>
        <v>0.57332373508844092</v>
      </c>
      <c r="S776" s="1977">
        <f>'Part VI-Revenues &amp; Expenses'!S14</f>
        <v>0</v>
      </c>
      <c r="T776" s="1978">
        <f>'Part VI-Revenues &amp; Expenses'!T14</f>
        <v>0</v>
      </c>
      <c r="U776" s="1979">
        <f>'Part VI-Revenues &amp; Expenses'!U14:V14</f>
        <v>0</v>
      </c>
      <c r="V776" s="1979"/>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f t="shared" si="41"/>
        <v>2</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f t="shared" si="145"/>
        <v>2400</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f t="shared" si="165"/>
        <v>2</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980" t="str">
        <f t="shared" si="202"/>
        <v/>
      </c>
      <c r="HZ776" s="1980" t="str">
        <f t="shared" si="203"/>
        <v/>
      </c>
      <c r="IA776" s="1980" t="str">
        <f t="shared" si="204"/>
        <v/>
      </c>
      <c r="IB776" s="1980">
        <f t="shared" si="205"/>
        <v>2</v>
      </c>
      <c r="IC776" s="1980" t="str">
        <f t="shared" si="206"/>
        <v/>
      </c>
      <c r="ID776" s="1980" t="str">
        <f t="shared" si="207"/>
        <v/>
      </c>
      <c r="IE776" s="1980" t="str">
        <f t="shared" si="208"/>
        <v/>
      </c>
      <c r="IF776" s="1980" t="str">
        <f t="shared" si="209"/>
        <v/>
      </c>
      <c r="IG776" s="1980" t="str">
        <f t="shared" si="210"/>
        <v/>
      </c>
      <c r="IH776" s="1980" t="str">
        <f t="shared" si="211"/>
        <v/>
      </c>
      <c r="II776" s="1980" t="str">
        <f t="shared" si="212"/>
        <v/>
      </c>
      <c r="IJ776" s="1980" t="str">
        <f t="shared" si="213"/>
        <v/>
      </c>
      <c r="IK776" s="1980" t="str">
        <f t="shared" si="214"/>
        <v/>
      </c>
      <c r="IL776" s="1980" t="str">
        <f t="shared" si="215"/>
        <v/>
      </c>
      <c r="IM776" s="1980" t="str">
        <f t="shared" si="216"/>
        <v/>
      </c>
      <c r="IN776" s="1980" t="str">
        <f t="shared" si="217"/>
        <v/>
      </c>
      <c r="IO776" s="1980" t="str">
        <f t="shared" si="218"/>
        <v/>
      </c>
      <c r="IP776" s="1980" t="str">
        <f t="shared" si="219"/>
        <v/>
      </c>
      <c r="IQ776" s="1980" t="str">
        <f t="shared" si="220"/>
        <v/>
      </c>
      <c r="IR776" s="1980" t="str">
        <f t="shared" si="221"/>
        <v/>
      </c>
      <c r="IS776" s="1980" t="str">
        <f t="shared" si="222"/>
        <v/>
      </c>
      <c r="IT776" s="1980" t="str">
        <f t="shared" si="223"/>
        <v/>
      </c>
      <c r="IU776" s="1980" t="str">
        <f t="shared" si="224"/>
        <v/>
      </c>
      <c r="IV776" s="1980" t="str">
        <f t="shared" si="225"/>
        <v/>
      </c>
      <c r="IW776" s="1980" t="str">
        <f t="shared" si="226"/>
        <v/>
      </c>
      <c r="IX776" s="1980" t="str">
        <f t="shared" si="227"/>
        <v/>
      </c>
      <c r="IY776" s="1980" t="str">
        <f t="shared" si="228"/>
        <v/>
      </c>
      <c r="IZ776" s="1980" t="str">
        <f t="shared" si="229"/>
        <v/>
      </c>
      <c r="JA776" s="1980" t="str">
        <f t="shared" si="230"/>
        <v/>
      </c>
      <c r="JB776" s="1980" t="str">
        <f t="shared" si="231"/>
        <v/>
      </c>
      <c r="JC776" s="1980" t="str">
        <f t="shared" si="232"/>
        <v/>
      </c>
      <c r="JD776" s="1980" t="str">
        <f t="shared" si="233"/>
        <v/>
      </c>
      <c r="JE776" s="1980" t="str">
        <f t="shared" si="234"/>
        <v/>
      </c>
      <c r="JF776" s="1980" t="str">
        <f t="shared" si="235"/>
        <v/>
      </c>
      <c r="JG776" s="1980" t="str">
        <f t="shared" si="236"/>
        <v/>
      </c>
      <c r="JH776" s="1980" t="str">
        <f t="shared" si="237"/>
        <v/>
      </c>
      <c r="JI776" s="1980" t="str">
        <f t="shared" si="238"/>
        <v/>
      </c>
      <c r="JJ776" s="1980" t="str">
        <f t="shared" si="239"/>
        <v/>
      </c>
      <c r="JK776" s="1980" t="str">
        <f t="shared" si="240"/>
        <v/>
      </c>
      <c r="JL776" s="1980" t="str">
        <f t="shared" si="241"/>
        <v/>
      </c>
      <c r="JM776" s="1980" t="str">
        <f t="shared" si="242"/>
        <v/>
      </c>
      <c r="JN776" s="1980" t="str">
        <f t="shared" si="243"/>
        <v/>
      </c>
      <c r="JO776" s="1980" t="str">
        <f t="shared" si="244"/>
        <v/>
      </c>
      <c r="JP776" s="1980" t="str">
        <f t="shared" si="245"/>
        <v/>
      </c>
      <c r="JQ776" s="1980" t="str">
        <f t="shared" si="246"/>
        <v/>
      </c>
      <c r="JR776" s="1980" t="str">
        <f t="shared" si="247"/>
        <v/>
      </c>
      <c r="JS776" s="1980" t="str">
        <f t="shared" si="248"/>
        <v/>
      </c>
      <c r="JT776" s="1980" t="str">
        <f t="shared" si="249"/>
        <v/>
      </c>
      <c r="JU776" s="1980" t="str">
        <f t="shared" si="250"/>
        <v/>
      </c>
      <c r="JV776" s="1980" t="str">
        <f t="shared" si="251"/>
        <v/>
      </c>
      <c r="JW776" s="1980" t="str">
        <f t="shared" si="252"/>
        <v/>
      </c>
      <c r="JX776" s="1980" t="str">
        <f t="shared" si="253"/>
        <v/>
      </c>
      <c r="JY776" s="1980" t="str">
        <f t="shared" si="254"/>
        <v/>
      </c>
      <c r="JZ776" s="1980" t="str">
        <f t="shared" si="255"/>
        <v/>
      </c>
      <c r="KA776" s="1980" t="str">
        <f t="shared" si="256"/>
        <v/>
      </c>
      <c r="KB776" s="1980" t="str">
        <f t="shared" si="257"/>
        <v/>
      </c>
      <c r="KC776" s="1980" t="str">
        <f t="shared" si="258"/>
        <v/>
      </c>
      <c r="KD776" s="1980" t="str">
        <f t="shared" si="259"/>
        <v/>
      </c>
      <c r="KE776" s="1980" t="str">
        <f t="shared" si="260"/>
        <v/>
      </c>
      <c r="KF776" s="1980" t="str">
        <f t="shared" si="261"/>
        <v/>
      </c>
      <c r="KG776" s="1980" t="str">
        <f t="shared" si="262"/>
        <v/>
      </c>
      <c r="KH776" s="1980" t="str">
        <f t="shared" si="263"/>
        <v/>
      </c>
      <c r="KI776" s="1980" t="str">
        <f t="shared" si="264"/>
        <v/>
      </c>
      <c r="KJ776" s="1980" t="str">
        <f t="shared" si="265"/>
        <v/>
      </c>
      <c r="KK776" s="1980" t="str">
        <f t="shared" si="266"/>
        <v/>
      </c>
      <c r="KL776" s="1980" t="str">
        <f t="shared" si="267"/>
        <v/>
      </c>
      <c r="KM776" s="1980" t="str">
        <f t="shared" si="268"/>
        <v/>
      </c>
      <c r="KN776" s="1980" t="str">
        <f t="shared" si="269"/>
        <v/>
      </c>
      <c r="KO776" s="1980">
        <f t="shared" si="270"/>
        <v>2</v>
      </c>
      <c r="KP776" s="1980" t="str">
        <f t="shared" si="271"/>
        <v/>
      </c>
      <c r="KQ776" s="1980" t="str">
        <f t="shared" si="272"/>
        <v/>
      </c>
      <c r="KR776" s="1980" t="str">
        <f t="shared" si="273"/>
        <v/>
      </c>
      <c r="KS776" s="1980" t="str">
        <f t="shared" si="274"/>
        <v/>
      </c>
      <c r="KT776" s="1980" t="str">
        <f t="shared" si="275"/>
        <v/>
      </c>
      <c r="KU776" s="1980" t="str">
        <f t="shared" si="276"/>
        <v/>
      </c>
      <c r="KV776" s="1980" t="str">
        <f t="shared" si="277"/>
        <v/>
      </c>
      <c r="KW776" s="1980" t="str">
        <f t="shared" si="278"/>
        <v/>
      </c>
      <c r="KX776" s="1980" t="str">
        <f t="shared" si="279"/>
        <v/>
      </c>
      <c r="KY776" s="1980" t="str">
        <f t="shared" si="280"/>
        <v/>
      </c>
      <c r="KZ776" s="1980" t="str">
        <f t="shared" si="281"/>
        <v/>
      </c>
      <c r="LA776" s="1980" t="str">
        <f t="shared" si="282"/>
        <v/>
      </c>
      <c r="LB776" s="1980" t="str">
        <f t="shared" si="283"/>
        <v/>
      </c>
      <c r="LC776" s="1980" t="str">
        <f t="shared" si="284"/>
        <v/>
      </c>
      <c r="LD776" s="1980" t="str">
        <f t="shared" si="285"/>
        <v/>
      </c>
      <c r="LE776" s="1980" t="str">
        <f t="shared" si="286"/>
        <v/>
      </c>
      <c r="LF776" s="1953" t="str">
        <f t="shared" si="287"/>
        <v/>
      </c>
      <c r="LG776" s="1953" t="str">
        <f t="shared" si="288"/>
        <v/>
      </c>
      <c r="LH776" s="1953" t="str">
        <f t="shared" si="289"/>
        <v/>
      </c>
      <c r="LI776" s="1953" t="str">
        <f t="shared" si="290"/>
        <v/>
      </c>
      <c r="LJ776" s="1953"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953">
        <f t="shared" si="323"/>
        <v>0</v>
      </c>
      <c r="MF776" s="1953">
        <f t="shared" si="324"/>
        <v>0</v>
      </c>
      <c r="MG776" s="1953">
        <f t="shared" si="325"/>
        <v>0</v>
      </c>
      <c r="MH776" s="1953">
        <f t="shared" si="326"/>
        <v>0</v>
      </c>
      <c r="MI776" s="1953">
        <f t="shared" si="327"/>
        <v>0</v>
      </c>
      <c r="MJ776" s="1953">
        <f t="shared" si="328"/>
        <v>0</v>
      </c>
      <c r="MK776" s="1953">
        <f t="shared" si="329"/>
        <v>0</v>
      </c>
      <c r="ML776" s="1953">
        <f t="shared" si="330"/>
        <v>0</v>
      </c>
      <c r="MM776" s="1953">
        <f t="shared" si="331"/>
        <v>2</v>
      </c>
      <c r="MN776" s="1953">
        <f t="shared" si="332"/>
        <v>0</v>
      </c>
      <c r="MO776" s="1953">
        <f t="shared" si="333"/>
        <v>0</v>
      </c>
      <c r="MP776" s="1953">
        <f t="shared" si="334"/>
        <v>0</v>
      </c>
      <c r="MQ776" s="1953">
        <f t="shared" si="335"/>
        <v>0</v>
      </c>
      <c r="MR776" s="1953">
        <f t="shared" si="336"/>
        <v>0</v>
      </c>
      <c r="MS776" s="1953">
        <f t="shared" si="337"/>
        <v>0</v>
      </c>
    </row>
    <row r="777" spans="1:357">
      <c r="A777" s="1955" t="str">
        <f t="shared" si="0"/>
        <v/>
      </c>
      <c r="B777" s="1971" t="str">
        <f>'Part VI-Revenues &amp; Expenses'!B15</f>
        <v>Unrestricted</v>
      </c>
      <c r="C777" s="1972">
        <f>'Part VI-Revenues &amp; Expenses'!C15</f>
        <v>0</v>
      </c>
      <c r="D777" s="1973">
        <f>'Part VI-Revenues &amp; Expenses'!D15</f>
        <v>0</v>
      </c>
      <c r="E777" s="1974">
        <f>'Part VI-Revenues &amp; Expenses'!E15</f>
        <v>0</v>
      </c>
      <c r="F777" s="1974">
        <f>'Part VI-Revenues &amp; Expenses'!F15</f>
        <v>0</v>
      </c>
      <c r="G777" s="1974">
        <f>'Part VI-Revenues &amp; Expenses'!G15</f>
        <v>0</v>
      </c>
      <c r="H777" s="1974">
        <f>'Part VI-Revenues &amp; Expenses'!H15</f>
        <v>0</v>
      </c>
      <c r="I777" s="1974">
        <f>'Part VI-Revenues &amp; Expenses'!I15</f>
        <v>0</v>
      </c>
      <c r="J777" s="1975">
        <f>'Part VI-Revenues &amp; Expenses'!J15</f>
        <v>0</v>
      </c>
      <c r="K777" s="1976">
        <f t="shared" si="1"/>
        <v>0</v>
      </c>
      <c r="L777" s="1976">
        <f t="shared" si="2"/>
        <v>0</v>
      </c>
      <c r="M777" s="1834">
        <f>'Part VI-Revenues &amp; Expenses'!M15</f>
        <v>0</v>
      </c>
      <c r="N777" s="1834">
        <f>'Part VI-Revenues &amp; Expenses'!N15</f>
        <v>0</v>
      </c>
      <c r="O777" s="1834">
        <f>'Part VI-Revenues &amp; Expenses'!O15</f>
        <v>0</v>
      </c>
      <c r="P777" s="1958">
        <f>'Part VI-Revenues &amp; Expenses'!P15</f>
        <v>0</v>
      </c>
      <c r="Q777" s="1977" t="str">
        <f>'Part VI-Revenues &amp; Expenses'!Q15</f>
        <v/>
      </c>
      <c r="R777" s="1978" t="str">
        <f>'Part VI-Revenues &amp; Expenses'!R15</f>
        <v/>
      </c>
      <c r="S777" s="1977">
        <f>'Part VI-Revenues &amp; Expenses'!S15</f>
        <v>0</v>
      </c>
      <c r="T777" s="1978">
        <f>'Part VI-Revenues &amp; Expenses'!T15</f>
        <v>0</v>
      </c>
      <c r="U777" s="1979">
        <f>'Part VI-Revenues &amp; Expenses'!U15:V15</f>
        <v>0</v>
      </c>
      <c r="V777" s="1979"/>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980" t="str">
        <f t="shared" si="202"/>
        <v/>
      </c>
      <c r="HZ777" s="1980" t="str">
        <f t="shared" si="203"/>
        <v/>
      </c>
      <c r="IA777" s="1980" t="str">
        <f t="shared" si="204"/>
        <v/>
      </c>
      <c r="IB777" s="1980" t="str">
        <f t="shared" si="205"/>
        <v/>
      </c>
      <c r="IC777" s="1980" t="str">
        <f t="shared" si="206"/>
        <v/>
      </c>
      <c r="ID777" s="1980" t="str">
        <f t="shared" si="207"/>
        <v/>
      </c>
      <c r="IE777" s="1980" t="str">
        <f t="shared" si="208"/>
        <v/>
      </c>
      <c r="IF777" s="1980" t="str">
        <f t="shared" si="209"/>
        <v/>
      </c>
      <c r="IG777" s="1980" t="str">
        <f t="shared" si="210"/>
        <v/>
      </c>
      <c r="IH777" s="1980" t="str">
        <f t="shared" si="211"/>
        <v/>
      </c>
      <c r="II777" s="1980" t="str">
        <f t="shared" si="212"/>
        <v/>
      </c>
      <c r="IJ777" s="1980" t="str">
        <f t="shared" si="213"/>
        <v/>
      </c>
      <c r="IK777" s="1980" t="str">
        <f t="shared" si="214"/>
        <v/>
      </c>
      <c r="IL777" s="1980" t="str">
        <f t="shared" si="215"/>
        <v/>
      </c>
      <c r="IM777" s="1980" t="str">
        <f t="shared" si="216"/>
        <v/>
      </c>
      <c r="IN777" s="1980" t="str">
        <f t="shared" si="217"/>
        <v/>
      </c>
      <c r="IO777" s="1980" t="str">
        <f t="shared" si="218"/>
        <v/>
      </c>
      <c r="IP777" s="1980" t="str">
        <f t="shared" si="219"/>
        <v/>
      </c>
      <c r="IQ777" s="1980" t="str">
        <f t="shared" si="220"/>
        <v/>
      </c>
      <c r="IR777" s="1980" t="str">
        <f t="shared" si="221"/>
        <v/>
      </c>
      <c r="IS777" s="1980" t="str">
        <f t="shared" si="222"/>
        <v/>
      </c>
      <c r="IT777" s="1980" t="str">
        <f t="shared" si="223"/>
        <v/>
      </c>
      <c r="IU777" s="1980" t="str">
        <f t="shared" si="224"/>
        <v/>
      </c>
      <c r="IV777" s="1980" t="str">
        <f t="shared" si="225"/>
        <v/>
      </c>
      <c r="IW777" s="1980" t="str">
        <f t="shared" si="226"/>
        <v/>
      </c>
      <c r="IX777" s="1980" t="str">
        <f t="shared" si="227"/>
        <v/>
      </c>
      <c r="IY777" s="1980" t="str">
        <f t="shared" si="228"/>
        <v/>
      </c>
      <c r="IZ777" s="1980" t="str">
        <f t="shared" si="229"/>
        <v/>
      </c>
      <c r="JA777" s="1980" t="str">
        <f t="shared" si="230"/>
        <v/>
      </c>
      <c r="JB777" s="1980" t="str">
        <f t="shared" si="231"/>
        <v/>
      </c>
      <c r="JC777" s="1980" t="str">
        <f t="shared" si="232"/>
        <v/>
      </c>
      <c r="JD777" s="1980" t="str">
        <f t="shared" si="233"/>
        <v/>
      </c>
      <c r="JE777" s="1980" t="str">
        <f t="shared" si="234"/>
        <v/>
      </c>
      <c r="JF777" s="1980" t="str">
        <f t="shared" si="235"/>
        <v/>
      </c>
      <c r="JG777" s="1980" t="str">
        <f t="shared" si="236"/>
        <v/>
      </c>
      <c r="JH777" s="1980" t="str">
        <f t="shared" si="237"/>
        <v/>
      </c>
      <c r="JI777" s="1980" t="str">
        <f t="shared" si="238"/>
        <v/>
      </c>
      <c r="JJ777" s="1980" t="str">
        <f t="shared" si="239"/>
        <v/>
      </c>
      <c r="JK777" s="1980" t="str">
        <f t="shared" si="240"/>
        <v/>
      </c>
      <c r="JL777" s="1980" t="str">
        <f t="shared" si="241"/>
        <v/>
      </c>
      <c r="JM777" s="1980" t="str">
        <f t="shared" si="242"/>
        <v/>
      </c>
      <c r="JN777" s="1980" t="str">
        <f t="shared" si="243"/>
        <v/>
      </c>
      <c r="JO777" s="1980" t="str">
        <f t="shared" si="244"/>
        <v/>
      </c>
      <c r="JP777" s="1980" t="str">
        <f t="shared" si="245"/>
        <v/>
      </c>
      <c r="JQ777" s="1980" t="str">
        <f t="shared" si="246"/>
        <v/>
      </c>
      <c r="JR777" s="1980" t="str">
        <f t="shared" si="247"/>
        <v/>
      </c>
      <c r="JS777" s="1980" t="str">
        <f t="shared" si="248"/>
        <v/>
      </c>
      <c r="JT777" s="1980" t="str">
        <f t="shared" si="249"/>
        <v/>
      </c>
      <c r="JU777" s="1980" t="str">
        <f t="shared" si="250"/>
        <v/>
      </c>
      <c r="JV777" s="1980" t="str">
        <f t="shared" si="251"/>
        <v/>
      </c>
      <c r="JW777" s="1980" t="str">
        <f t="shared" si="252"/>
        <v/>
      </c>
      <c r="JX777" s="1980" t="str">
        <f t="shared" si="253"/>
        <v/>
      </c>
      <c r="JY777" s="1980" t="str">
        <f t="shared" si="254"/>
        <v/>
      </c>
      <c r="JZ777" s="1980" t="str">
        <f t="shared" si="255"/>
        <v/>
      </c>
      <c r="KA777" s="1980" t="str">
        <f t="shared" si="256"/>
        <v/>
      </c>
      <c r="KB777" s="1980" t="str">
        <f t="shared" si="257"/>
        <v/>
      </c>
      <c r="KC777" s="1980" t="str">
        <f t="shared" si="258"/>
        <v/>
      </c>
      <c r="KD777" s="1980" t="str">
        <f t="shared" si="259"/>
        <v/>
      </c>
      <c r="KE777" s="1980" t="str">
        <f t="shared" si="260"/>
        <v/>
      </c>
      <c r="KF777" s="1980" t="str">
        <f t="shared" si="261"/>
        <v/>
      </c>
      <c r="KG777" s="1980" t="str">
        <f t="shared" si="262"/>
        <v/>
      </c>
      <c r="KH777" s="1980" t="str">
        <f t="shared" si="263"/>
        <v/>
      </c>
      <c r="KI777" s="1980" t="str">
        <f t="shared" si="264"/>
        <v/>
      </c>
      <c r="KJ777" s="1980" t="str">
        <f t="shared" si="265"/>
        <v/>
      </c>
      <c r="KK777" s="1980" t="str">
        <f t="shared" si="266"/>
        <v/>
      </c>
      <c r="KL777" s="1980" t="str">
        <f t="shared" si="267"/>
        <v/>
      </c>
      <c r="KM777" s="1980" t="str">
        <f t="shared" si="268"/>
        <v/>
      </c>
      <c r="KN777" s="1980" t="str">
        <f t="shared" si="269"/>
        <v/>
      </c>
      <c r="KO777" s="1980" t="str">
        <f t="shared" si="270"/>
        <v/>
      </c>
      <c r="KP777" s="1980" t="str">
        <f t="shared" si="271"/>
        <v/>
      </c>
      <c r="KQ777" s="1980" t="str">
        <f t="shared" si="272"/>
        <v/>
      </c>
      <c r="KR777" s="1980" t="str">
        <f t="shared" si="273"/>
        <v/>
      </c>
      <c r="KS777" s="1980" t="str">
        <f t="shared" si="274"/>
        <v/>
      </c>
      <c r="KT777" s="1980" t="str">
        <f t="shared" si="275"/>
        <v/>
      </c>
      <c r="KU777" s="1980" t="str">
        <f t="shared" si="276"/>
        <v/>
      </c>
      <c r="KV777" s="1980" t="str">
        <f t="shared" si="277"/>
        <v/>
      </c>
      <c r="KW777" s="1980" t="str">
        <f t="shared" si="278"/>
        <v/>
      </c>
      <c r="KX777" s="1980" t="str">
        <f t="shared" si="279"/>
        <v/>
      </c>
      <c r="KY777" s="1980" t="str">
        <f t="shared" si="280"/>
        <v/>
      </c>
      <c r="KZ777" s="1980" t="str">
        <f t="shared" si="281"/>
        <v/>
      </c>
      <c r="LA777" s="1980" t="str">
        <f t="shared" si="282"/>
        <v/>
      </c>
      <c r="LB777" s="1980" t="str">
        <f t="shared" si="283"/>
        <v/>
      </c>
      <c r="LC777" s="1980" t="str">
        <f t="shared" si="284"/>
        <v/>
      </c>
      <c r="LD777" s="1980" t="str">
        <f t="shared" si="285"/>
        <v/>
      </c>
      <c r="LE777" s="1980" t="str">
        <f t="shared" si="286"/>
        <v/>
      </c>
      <c r="LF777" s="1953" t="str">
        <f t="shared" si="287"/>
        <v/>
      </c>
      <c r="LG777" s="1953" t="str">
        <f t="shared" si="288"/>
        <v/>
      </c>
      <c r="LH777" s="1953" t="str">
        <f t="shared" si="289"/>
        <v/>
      </c>
      <c r="LI777" s="1953" t="str">
        <f t="shared" si="290"/>
        <v/>
      </c>
      <c r="LJ777" s="1953"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953">
        <f t="shared" si="323"/>
        <v>0</v>
      </c>
      <c r="MF777" s="1953">
        <f t="shared" si="324"/>
        <v>0</v>
      </c>
      <c r="MG777" s="1953">
        <f t="shared" si="325"/>
        <v>0</v>
      </c>
      <c r="MH777" s="1953">
        <f t="shared" si="326"/>
        <v>0</v>
      </c>
      <c r="MI777" s="1953">
        <f t="shared" si="327"/>
        <v>0</v>
      </c>
      <c r="MJ777" s="1953">
        <f t="shared" si="328"/>
        <v>0</v>
      </c>
      <c r="MK777" s="1953">
        <f t="shared" si="329"/>
        <v>0</v>
      </c>
      <c r="ML777" s="1953">
        <f t="shared" si="330"/>
        <v>0</v>
      </c>
      <c r="MM777" s="1953">
        <f t="shared" si="331"/>
        <v>0</v>
      </c>
      <c r="MN777" s="1953">
        <f t="shared" si="332"/>
        <v>0</v>
      </c>
      <c r="MO777" s="1953">
        <f t="shared" si="333"/>
        <v>0</v>
      </c>
      <c r="MP777" s="1953">
        <f t="shared" si="334"/>
        <v>0</v>
      </c>
      <c r="MQ777" s="1953">
        <f t="shared" si="335"/>
        <v>0</v>
      </c>
      <c r="MR777" s="1953">
        <f t="shared" si="336"/>
        <v>0</v>
      </c>
      <c r="MS777" s="1953">
        <f t="shared" si="337"/>
        <v>0</v>
      </c>
    </row>
    <row r="778" spans="1:357">
      <c r="A778" s="1955" t="str">
        <f t="shared" si="0"/>
        <v/>
      </c>
      <c r="B778" s="1971" t="str">
        <f>'Part VI-Revenues &amp; Expenses'!B16</f>
        <v>Unrestricted</v>
      </c>
      <c r="C778" s="1972">
        <f>'Part VI-Revenues &amp; Expenses'!C16</f>
        <v>0</v>
      </c>
      <c r="D778" s="1973">
        <f>'Part VI-Revenues &amp; Expenses'!D16</f>
        <v>0</v>
      </c>
      <c r="E778" s="1974">
        <f>'Part VI-Revenues &amp; Expenses'!E16</f>
        <v>0</v>
      </c>
      <c r="F778" s="1974">
        <f>'Part VI-Revenues &amp; Expenses'!F16</f>
        <v>0</v>
      </c>
      <c r="G778" s="1974">
        <f>'Part VI-Revenues &amp; Expenses'!G16</f>
        <v>0</v>
      </c>
      <c r="H778" s="1974">
        <f>'Part VI-Revenues &amp; Expenses'!H16</f>
        <v>0</v>
      </c>
      <c r="I778" s="1974">
        <f>'Part VI-Revenues &amp; Expenses'!I16</f>
        <v>0</v>
      </c>
      <c r="J778" s="1975">
        <f>'Part VI-Revenues &amp; Expenses'!J16</f>
        <v>0</v>
      </c>
      <c r="K778" s="1976">
        <f t="shared" si="1"/>
        <v>0</v>
      </c>
      <c r="L778" s="1976">
        <f t="shared" si="2"/>
        <v>0</v>
      </c>
      <c r="M778" s="1834">
        <f>'Part VI-Revenues &amp; Expenses'!M16</f>
        <v>0</v>
      </c>
      <c r="N778" s="1834">
        <f>'Part VI-Revenues &amp; Expenses'!N16</f>
        <v>0</v>
      </c>
      <c r="O778" s="1834">
        <f>'Part VI-Revenues &amp; Expenses'!O16</f>
        <v>0</v>
      </c>
      <c r="P778" s="1958">
        <f>'Part VI-Revenues &amp; Expenses'!P16</f>
        <v>0</v>
      </c>
      <c r="Q778" s="1977" t="str">
        <f>'Part VI-Revenues &amp; Expenses'!Q16</f>
        <v/>
      </c>
      <c r="R778" s="1978" t="str">
        <f>'Part VI-Revenues &amp; Expenses'!R16</f>
        <v/>
      </c>
      <c r="S778" s="1977">
        <f>'Part VI-Revenues &amp; Expenses'!S16</f>
        <v>0</v>
      </c>
      <c r="T778" s="1978">
        <f>'Part VI-Revenues &amp; Expenses'!T16</f>
        <v>0</v>
      </c>
      <c r="U778" s="1979">
        <f>'Part VI-Revenues &amp; Expenses'!U16:V16</f>
        <v>0</v>
      </c>
      <c r="V778" s="1979"/>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980" t="str">
        <f t="shared" si="202"/>
        <v/>
      </c>
      <c r="HZ778" s="1980" t="str">
        <f t="shared" si="203"/>
        <v/>
      </c>
      <c r="IA778" s="1980" t="str">
        <f t="shared" si="204"/>
        <v/>
      </c>
      <c r="IB778" s="1980" t="str">
        <f t="shared" si="205"/>
        <v/>
      </c>
      <c r="IC778" s="1980" t="str">
        <f t="shared" si="206"/>
        <v/>
      </c>
      <c r="ID778" s="1980" t="str">
        <f t="shared" si="207"/>
        <v/>
      </c>
      <c r="IE778" s="1980" t="str">
        <f t="shared" si="208"/>
        <v/>
      </c>
      <c r="IF778" s="1980" t="str">
        <f t="shared" si="209"/>
        <v/>
      </c>
      <c r="IG778" s="1980" t="str">
        <f t="shared" si="210"/>
        <v/>
      </c>
      <c r="IH778" s="1980" t="str">
        <f t="shared" si="211"/>
        <v/>
      </c>
      <c r="II778" s="1980" t="str">
        <f t="shared" si="212"/>
        <v/>
      </c>
      <c r="IJ778" s="1980" t="str">
        <f t="shared" si="213"/>
        <v/>
      </c>
      <c r="IK778" s="1980" t="str">
        <f t="shared" si="214"/>
        <v/>
      </c>
      <c r="IL778" s="1980" t="str">
        <f t="shared" si="215"/>
        <v/>
      </c>
      <c r="IM778" s="1980" t="str">
        <f t="shared" si="216"/>
        <v/>
      </c>
      <c r="IN778" s="1980" t="str">
        <f t="shared" si="217"/>
        <v/>
      </c>
      <c r="IO778" s="1980" t="str">
        <f t="shared" si="218"/>
        <v/>
      </c>
      <c r="IP778" s="1980" t="str">
        <f t="shared" si="219"/>
        <v/>
      </c>
      <c r="IQ778" s="1980" t="str">
        <f t="shared" si="220"/>
        <v/>
      </c>
      <c r="IR778" s="1980" t="str">
        <f t="shared" si="221"/>
        <v/>
      </c>
      <c r="IS778" s="1980" t="str">
        <f t="shared" si="222"/>
        <v/>
      </c>
      <c r="IT778" s="1980" t="str">
        <f t="shared" si="223"/>
        <v/>
      </c>
      <c r="IU778" s="1980" t="str">
        <f t="shared" si="224"/>
        <v/>
      </c>
      <c r="IV778" s="1980" t="str">
        <f t="shared" si="225"/>
        <v/>
      </c>
      <c r="IW778" s="1980" t="str">
        <f t="shared" si="226"/>
        <v/>
      </c>
      <c r="IX778" s="1980" t="str">
        <f t="shared" si="227"/>
        <v/>
      </c>
      <c r="IY778" s="1980" t="str">
        <f t="shared" si="228"/>
        <v/>
      </c>
      <c r="IZ778" s="1980" t="str">
        <f t="shared" si="229"/>
        <v/>
      </c>
      <c r="JA778" s="1980" t="str">
        <f t="shared" si="230"/>
        <v/>
      </c>
      <c r="JB778" s="1980" t="str">
        <f t="shared" si="231"/>
        <v/>
      </c>
      <c r="JC778" s="1980" t="str">
        <f t="shared" si="232"/>
        <v/>
      </c>
      <c r="JD778" s="1980" t="str">
        <f t="shared" si="233"/>
        <v/>
      </c>
      <c r="JE778" s="1980" t="str">
        <f t="shared" si="234"/>
        <v/>
      </c>
      <c r="JF778" s="1980" t="str">
        <f t="shared" si="235"/>
        <v/>
      </c>
      <c r="JG778" s="1980" t="str">
        <f t="shared" si="236"/>
        <v/>
      </c>
      <c r="JH778" s="1980" t="str">
        <f t="shared" si="237"/>
        <v/>
      </c>
      <c r="JI778" s="1980" t="str">
        <f t="shared" si="238"/>
        <v/>
      </c>
      <c r="JJ778" s="1980" t="str">
        <f t="shared" si="239"/>
        <v/>
      </c>
      <c r="JK778" s="1980" t="str">
        <f t="shared" si="240"/>
        <v/>
      </c>
      <c r="JL778" s="1980" t="str">
        <f t="shared" si="241"/>
        <v/>
      </c>
      <c r="JM778" s="1980" t="str">
        <f t="shared" si="242"/>
        <v/>
      </c>
      <c r="JN778" s="1980" t="str">
        <f t="shared" si="243"/>
        <v/>
      </c>
      <c r="JO778" s="1980" t="str">
        <f t="shared" si="244"/>
        <v/>
      </c>
      <c r="JP778" s="1980" t="str">
        <f t="shared" si="245"/>
        <v/>
      </c>
      <c r="JQ778" s="1980" t="str">
        <f t="shared" si="246"/>
        <v/>
      </c>
      <c r="JR778" s="1980" t="str">
        <f t="shared" si="247"/>
        <v/>
      </c>
      <c r="JS778" s="1980" t="str">
        <f t="shared" si="248"/>
        <v/>
      </c>
      <c r="JT778" s="1980" t="str">
        <f t="shared" si="249"/>
        <v/>
      </c>
      <c r="JU778" s="1980" t="str">
        <f t="shared" si="250"/>
        <v/>
      </c>
      <c r="JV778" s="1980" t="str">
        <f t="shared" si="251"/>
        <v/>
      </c>
      <c r="JW778" s="1980" t="str">
        <f t="shared" si="252"/>
        <v/>
      </c>
      <c r="JX778" s="1980" t="str">
        <f t="shared" si="253"/>
        <v/>
      </c>
      <c r="JY778" s="1980" t="str">
        <f t="shared" si="254"/>
        <v/>
      </c>
      <c r="JZ778" s="1980" t="str">
        <f t="shared" si="255"/>
        <v/>
      </c>
      <c r="KA778" s="1980" t="str">
        <f t="shared" si="256"/>
        <v/>
      </c>
      <c r="KB778" s="1980" t="str">
        <f t="shared" si="257"/>
        <v/>
      </c>
      <c r="KC778" s="1980" t="str">
        <f t="shared" si="258"/>
        <v/>
      </c>
      <c r="KD778" s="1980" t="str">
        <f t="shared" si="259"/>
        <v/>
      </c>
      <c r="KE778" s="1980" t="str">
        <f t="shared" si="260"/>
        <v/>
      </c>
      <c r="KF778" s="1980" t="str">
        <f t="shared" si="261"/>
        <v/>
      </c>
      <c r="KG778" s="1980" t="str">
        <f t="shared" si="262"/>
        <v/>
      </c>
      <c r="KH778" s="1980" t="str">
        <f t="shared" si="263"/>
        <v/>
      </c>
      <c r="KI778" s="1980" t="str">
        <f t="shared" si="264"/>
        <v/>
      </c>
      <c r="KJ778" s="1980" t="str">
        <f t="shared" si="265"/>
        <v/>
      </c>
      <c r="KK778" s="1980" t="str">
        <f t="shared" si="266"/>
        <v/>
      </c>
      <c r="KL778" s="1980" t="str">
        <f t="shared" si="267"/>
        <v/>
      </c>
      <c r="KM778" s="1980" t="str">
        <f t="shared" si="268"/>
        <v/>
      </c>
      <c r="KN778" s="1980" t="str">
        <f t="shared" si="269"/>
        <v/>
      </c>
      <c r="KO778" s="1980" t="str">
        <f t="shared" si="270"/>
        <v/>
      </c>
      <c r="KP778" s="1980" t="str">
        <f t="shared" si="271"/>
        <v/>
      </c>
      <c r="KQ778" s="1980" t="str">
        <f t="shared" si="272"/>
        <v/>
      </c>
      <c r="KR778" s="1980" t="str">
        <f t="shared" si="273"/>
        <v/>
      </c>
      <c r="KS778" s="1980" t="str">
        <f t="shared" si="274"/>
        <v/>
      </c>
      <c r="KT778" s="1980" t="str">
        <f t="shared" si="275"/>
        <v/>
      </c>
      <c r="KU778" s="1980" t="str">
        <f t="shared" si="276"/>
        <v/>
      </c>
      <c r="KV778" s="1980" t="str">
        <f t="shared" si="277"/>
        <v/>
      </c>
      <c r="KW778" s="1980" t="str">
        <f t="shared" si="278"/>
        <v/>
      </c>
      <c r="KX778" s="1980" t="str">
        <f t="shared" si="279"/>
        <v/>
      </c>
      <c r="KY778" s="1980" t="str">
        <f t="shared" si="280"/>
        <v/>
      </c>
      <c r="KZ778" s="1980" t="str">
        <f t="shared" si="281"/>
        <v/>
      </c>
      <c r="LA778" s="1980" t="str">
        <f t="shared" si="282"/>
        <v/>
      </c>
      <c r="LB778" s="1980" t="str">
        <f t="shared" si="283"/>
        <v/>
      </c>
      <c r="LC778" s="1980" t="str">
        <f t="shared" si="284"/>
        <v/>
      </c>
      <c r="LD778" s="1980" t="str">
        <f t="shared" si="285"/>
        <v/>
      </c>
      <c r="LE778" s="1980" t="str">
        <f t="shared" si="286"/>
        <v/>
      </c>
      <c r="LF778" s="1953" t="str">
        <f t="shared" si="287"/>
        <v/>
      </c>
      <c r="LG778" s="1953" t="str">
        <f t="shared" si="288"/>
        <v/>
      </c>
      <c r="LH778" s="1953" t="str">
        <f t="shared" si="289"/>
        <v/>
      </c>
      <c r="LI778" s="1953" t="str">
        <f t="shared" si="290"/>
        <v/>
      </c>
      <c r="LJ778" s="1953"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953">
        <f t="shared" si="323"/>
        <v>0</v>
      </c>
      <c r="MF778" s="1953">
        <f t="shared" si="324"/>
        <v>0</v>
      </c>
      <c r="MG778" s="1953">
        <f t="shared" si="325"/>
        <v>0</v>
      </c>
      <c r="MH778" s="1953">
        <f t="shared" si="326"/>
        <v>0</v>
      </c>
      <c r="MI778" s="1953">
        <f t="shared" si="327"/>
        <v>0</v>
      </c>
      <c r="MJ778" s="1953">
        <f t="shared" si="328"/>
        <v>0</v>
      </c>
      <c r="MK778" s="1953">
        <f t="shared" si="329"/>
        <v>0</v>
      </c>
      <c r="ML778" s="1953">
        <f t="shared" si="330"/>
        <v>0</v>
      </c>
      <c r="MM778" s="1953">
        <f t="shared" si="331"/>
        <v>0</v>
      </c>
      <c r="MN778" s="1953">
        <f t="shared" si="332"/>
        <v>0</v>
      </c>
      <c r="MO778" s="1953">
        <f t="shared" si="333"/>
        <v>0</v>
      </c>
      <c r="MP778" s="1953">
        <f t="shared" si="334"/>
        <v>0</v>
      </c>
      <c r="MQ778" s="1953">
        <f t="shared" si="335"/>
        <v>0</v>
      </c>
      <c r="MR778" s="1953">
        <f t="shared" si="336"/>
        <v>0</v>
      </c>
      <c r="MS778" s="1953">
        <f t="shared" si="337"/>
        <v>0</v>
      </c>
    </row>
    <row r="779" spans="1:357">
      <c r="A779" s="1955" t="str">
        <f t="shared" si="0"/>
        <v/>
      </c>
      <c r="B779" s="1971">
        <f>'Part VI-Revenues &amp; Expenses'!B17</f>
        <v>50</v>
      </c>
      <c r="C779" s="1972">
        <f>'Part VI-Revenues &amp; Expenses'!C17</f>
        <v>1</v>
      </c>
      <c r="D779" s="1973">
        <f>'Part VI-Revenues &amp; Expenses'!D17</f>
        <v>1</v>
      </c>
      <c r="E779" s="1974">
        <f>'Part VI-Revenues &amp; Expenses'!E17</f>
        <v>7</v>
      </c>
      <c r="F779" s="1974">
        <f>'Part VI-Revenues &amp; Expenses'!F17</f>
        <v>710</v>
      </c>
      <c r="G779" s="1974">
        <f>'Part VI-Revenues &amp; Expenses'!G17</f>
        <v>701</v>
      </c>
      <c r="H779" s="1974">
        <f>'Part VI-Revenues &amp; Expenses'!H17</f>
        <v>701</v>
      </c>
      <c r="I779" s="1974">
        <f>'Part VI-Revenues &amp; Expenses'!I17</f>
        <v>157</v>
      </c>
      <c r="J779" s="1975">
        <f>'Part VI-Revenues &amp; Expenses'!J17</f>
        <v>0</v>
      </c>
      <c r="K779" s="1976">
        <f t="shared" si="1"/>
        <v>544</v>
      </c>
      <c r="L779" s="1976">
        <f t="shared" si="2"/>
        <v>3808</v>
      </c>
      <c r="M779" s="1834" t="str">
        <f>'Part VI-Revenues &amp; Expenses'!M17</f>
        <v>No</v>
      </c>
      <c r="N779" s="1834" t="str">
        <f>'Part VI-Revenues &amp; Expenses'!N17</f>
        <v>2-Story Walkup</v>
      </c>
      <c r="O779" s="1834" t="str">
        <f>'Part VI-Revenues &amp; Expenses'!O17</f>
        <v>New Construction</v>
      </c>
      <c r="P779" s="1958" t="str">
        <f>'Part VI-Revenues &amp; Expenses'!P17</f>
        <v>No</v>
      </c>
      <c r="Q779" s="1977">
        <f>'Part VI-Revenues &amp; Expenses'!Q17</f>
        <v>28040</v>
      </c>
      <c r="R779" s="1978">
        <f>'Part VI-Revenues &amp; Expenses'!R17</f>
        <v>0.49982174688057041</v>
      </c>
      <c r="S779" s="1977">
        <f>'Part VI-Revenues &amp; Expenses'!S17</f>
        <v>0</v>
      </c>
      <c r="T779" s="1978">
        <f>'Part VI-Revenues &amp; Expenses'!T17</f>
        <v>0</v>
      </c>
      <c r="U779" s="1979">
        <f>'Part VI-Revenues &amp; Expenses'!U17:V17</f>
        <v>0</v>
      </c>
      <c r="V779" s="1979"/>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7</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4970</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7</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980" t="str">
        <f t="shared" si="202"/>
        <v/>
      </c>
      <c r="HZ779" s="1980">
        <f t="shared" si="203"/>
        <v>7</v>
      </c>
      <c r="IA779" s="1980" t="str">
        <f t="shared" si="204"/>
        <v/>
      </c>
      <c r="IB779" s="1980" t="str">
        <f t="shared" si="205"/>
        <v/>
      </c>
      <c r="IC779" s="1980" t="str">
        <f t="shared" si="206"/>
        <v/>
      </c>
      <c r="ID779" s="1980" t="str">
        <f t="shared" si="207"/>
        <v/>
      </c>
      <c r="IE779" s="1980" t="str">
        <f t="shared" si="208"/>
        <v/>
      </c>
      <c r="IF779" s="1980" t="str">
        <f t="shared" si="209"/>
        <v/>
      </c>
      <c r="IG779" s="1980" t="str">
        <f t="shared" si="210"/>
        <v/>
      </c>
      <c r="IH779" s="1980" t="str">
        <f t="shared" si="211"/>
        <v/>
      </c>
      <c r="II779" s="1980" t="str">
        <f t="shared" si="212"/>
        <v/>
      </c>
      <c r="IJ779" s="1980" t="str">
        <f t="shared" si="213"/>
        <v/>
      </c>
      <c r="IK779" s="1980" t="str">
        <f t="shared" si="214"/>
        <v/>
      </c>
      <c r="IL779" s="1980" t="str">
        <f t="shared" si="215"/>
        <v/>
      </c>
      <c r="IM779" s="1980" t="str">
        <f t="shared" si="216"/>
        <v/>
      </c>
      <c r="IN779" s="1980" t="str">
        <f t="shared" si="217"/>
        <v/>
      </c>
      <c r="IO779" s="1980" t="str">
        <f t="shared" si="218"/>
        <v/>
      </c>
      <c r="IP779" s="1980" t="str">
        <f t="shared" si="219"/>
        <v/>
      </c>
      <c r="IQ779" s="1980" t="str">
        <f t="shared" si="220"/>
        <v/>
      </c>
      <c r="IR779" s="1980" t="str">
        <f t="shared" si="221"/>
        <v/>
      </c>
      <c r="IS779" s="1980" t="str">
        <f t="shared" si="222"/>
        <v/>
      </c>
      <c r="IT779" s="1980" t="str">
        <f t="shared" si="223"/>
        <v/>
      </c>
      <c r="IU779" s="1980" t="str">
        <f t="shared" si="224"/>
        <v/>
      </c>
      <c r="IV779" s="1980" t="str">
        <f t="shared" si="225"/>
        <v/>
      </c>
      <c r="IW779" s="1980" t="str">
        <f t="shared" si="226"/>
        <v/>
      </c>
      <c r="IX779" s="1980" t="str">
        <f t="shared" si="227"/>
        <v/>
      </c>
      <c r="IY779" s="1980" t="str">
        <f t="shared" si="228"/>
        <v/>
      </c>
      <c r="IZ779" s="1980" t="str">
        <f t="shared" si="229"/>
        <v/>
      </c>
      <c r="JA779" s="1980" t="str">
        <f t="shared" si="230"/>
        <v/>
      </c>
      <c r="JB779" s="1980" t="str">
        <f t="shared" si="231"/>
        <v/>
      </c>
      <c r="JC779" s="1980" t="str">
        <f t="shared" si="232"/>
        <v/>
      </c>
      <c r="JD779" s="1980" t="str">
        <f t="shared" si="233"/>
        <v/>
      </c>
      <c r="JE779" s="1980" t="str">
        <f t="shared" si="234"/>
        <v/>
      </c>
      <c r="JF779" s="1980" t="str">
        <f t="shared" si="235"/>
        <v/>
      </c>
      <c r="JG779" s="1980" t="str">
        <f t="shared" si="236"/>
        <v/>
      </c>
      <c r="JH779" s="1980" t="str">
        <f t="shared" si="237"/>
        <v/>
      </c>
      <c r="JI779" s="1980" t="str">
        <f t="shared" si="238"/>
        <v/>
      </c>
      <c r="JJ779" s="1980" t="str">
        <f t="shared" si="239"/>
        <v/>
      </c>
      <c r="JK779" s="1980" t="str">
        <f t="shared" si="240"/>
        <v/>
      </c>
      <c r="JL779" s="1980" t="str">
        <f t="shared" si="241"/>
        <v/>
      </c>
      <c r="JM779" s="1980" t="str">
        <f t="shared" si="242"/>
        <v/>
      </c>
      <c r="JN779" s="1980" t="str">
        <f t="shared" si="243"/>
        <v/>
      </c>
      <c r="JO779" s="1980" t="str">
        <f t="shared" si="244"/>
        <v/>
      </c>
      <c r="JP779" s="1980" t="str">
        <f t="shared" si="245"/>
        <v/>
      </c>
      <c r="JQ779" s="1980" t="str">
        <f t="shared" si="246"/>
        <v/>
      </c>
      <c r="JR779" s="1980" t="str">
        <f t="shared" si="247"/>
        <v/>
      </c>
      <c r="JS779" s="1980" t="str">
        <f t="shared" si="248"/>
        <v/>
      </c>
      <c r="JT779" s="1980" t="str">
        <f t="shared" si="249"/>
        <v/>
      </c>
      <c r="JU779" s="1980" t="str">
        <f t="shared" si="250"/>
        <v/>
      </c>
      <c r="JV779" s="1980" t="str">
        <f t="shared" si="251"/>
        <v/>
      </c>
      <c r="JW779" s="1980" t="str">
        <f t="shared" si="252"/>
        <v/>
      </c>
      <c r="JX779" s="1980" t="str">
        <f t="shared" si="253"/>
        <v/>
      </c>
      <c r="JY779" s="1980" t="str">
        <f t="shared" si="254"/>
        <v/>
      </c>
      <c r="JZ779" s="1980" t="str">
        <f t="shared" si="255"/>
        <v/>
      </c>
      <c r="KA779" s="1980" t="str">
        <f t="shared" si="256"/>
        <v/>
      </c>
      <c r="KB779" s="1980" t="str">
        <f t="shared" si="257"/>
        <v/>
      </c>
      <c r="KC779" s="1980" t="str">
        <f t="shared" si="258"/>
        <v/>
      </c>
      <c r="KD779" s="1980" t="str">
        <f t="shared" si="259"/>
        <v/>
      </c>
      <c r="KE779" s="1980" t="str">
        <f t="shared" si="260"/>
        <v/>
      </c>
      <c r="KF779" s="1980" t="str">
        <f t="shared" si="261"/>
        <v/>
      </c>
      <c r="KG779" s="1980" t="str">
        <f t="shared" si="262"/>
        <v/>
      </c>
      <c r="KH779" s="1980" t="str">
        <f t="shared" si="263"/>
        <v/>
      </c>
      <c r="KI779" s="1980" t="str">
        <f t="shared" si="264"/>
        <v/>
      </c>
      <c r="KJ779" s="1980" t="str">
        <f t="shared" si="265"/>
        <v/>
      </c>
      <c r="KK779" s="1980" t="str">
        <f t="shared" si="266"/>
        <v/>
      </c>
      <c r="KL779" s="1980" t="str">
        <f t="shared" si="267"/>
        <v/>
      </c>
      <c r="KM779" s="1980">
        <f t="shared" si="268"/>
        <v>7</v>
      </c>
      <c r="KN779" s="1980" t="str">
        <f t="shared" si="269"/>
        <v/>
      </c>
      <c r="KO779" s="1980" t="str">
        <f t="shared" si="270"/>
        <v/>
      </c>
      <c r="KP779" s="1980" t="str">
        <f t="shared" si="271"/>
        <v/>
      </c>
      <c r="KQ779" s="1980" t="str">
        <f t="shared" si="272"/>
        <v/>
      </c>
      <c r="KR779" s="1980" t="str">
        <f t="shared" si="273"/>
        <v/>
      </c>
      <c r="KS779" s="1980" t="str">
        <f t="shared" si="274"/>
        <v/>
      </c>
      <c r="KT779" s="1980" t="str">
        <f t="shared" si="275"/>
        <v/>
      </c>
      <c r="KU779" s="1980" t="str">
        <f t="shared" si="276"/>
        <v/>
      </c>
      <c r="KV779" s="1980" t="str">
        <f t="shared" si="277"/>
        <v/>
      </c>
      <c r="KW779" s="1980" t="str">
        <f t="shared" si="278"/>
        <v/>
      </c>
      <c r="KX779" s="1980" t="str">
        <f t="shared" si="279"/>
        <v/>
      </c>
      <c r="KY779" s="1980" t="str">
        <f t="shared" si="280"/>
        <v/>
      </c>
      <c r="KZ779" s="1980" t="str">
        <f t="shared" si="281"/>
        <v/>
      </c>
      <c r="LA779" s="1980" t="str">
        <f t="shared" si="282"/>
        <v/>
      </c>
      <c r="LB779" s="1980" t="str">
        <f t="shared" si="283"/>
        <v/>
      </c>
      <c r="LC779" s="1980" t="str">
        <f t="shared" si="284"/>
        <v/>
      </c>
      <c r="LD779" s="1980" t="str">
        <f t="shared" si="285"/>
        <v/>
      </c>
      <c r="LE779" s="1980" t="str">
        <f t="shared" si="286"/>
        <v/>
      </c>
      <c r="LF779" s="1953" t="str">
        <f t="shared" si="287"/>
        <v/>
      </c>
      <c r="LG779" s="1953" t="str">
        <f t="shared" si="288"/>
        <v/>
      </c>
      <c r="LH779" s="1953" t="str">
        <f t="shared" si="289"/>
        <v/>
      </c>
      <c r="LI779" s="1953" t="str">
        <f t="shared" si="290"/>
        <v/>
      </c>
      <c r="LJ779" s="1953"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953">
        <f t="shared" si="323"/>
        <v>0</v>
      </c>
      <c r="MF779" s="1953">
        <f t="shared" si="324"/>
        <v>0</v>
      </c>
      <c r="MG779" s="1953">
        <f t="shared" si="325"/>
        <v>0</v>
      </c>
      <c r="MH779" s="1953">
        <f t="shared" si="326"/>
        <v>0</v>
      </c>
      <c r="MI779" s="1953">
        <f t="shared" si="327"/>
        <v>0</v>
      </c>
      <c r="MJ779" s="1953">
        <f t="shared" si="328"/>
        <v>0</v>
      </c>
      <c r="MK779" s="1953">
        <f t="shared" si="329"/>
        <v>7</v>
      </c>
      <c r="ML779" s="1953">
        <f t="shared" si="330"/>
        <v>0</v>
      </c>
      <c r="MM779" s="1953">
        <f t="shared" si="331"/>
        <v>0</v>
      </c>
      <c r="MN779" s="1953">
        <f t="shared" si="332"/>
        <v>0</v>
      </c>
      <c r="MO779" s="1953">
        <f t="shared" si="333"/>
        <v>0</v>
      </c>
      <c r="MP779" s="1953">
        <f t="shared" si="334"/>
        <v>0</v>
      </c>
      <c r="MQ779" s="1953">
        <f t="shared" si="335"/>
        <v>0</v>
      </c>
      <c r="MR779" s="1953">
        <f t="shared" si="336"/>
        <v>0</v>
      </c>
      <c r="MS779" s="1953">
        <f t="shared" si="337"/>
        <v>0</v>
      </c>
    </row>
    <row r="780" spans="1:357">
      <c r="A780" s="1955" t="str">
        <f t="shared" si="0"/>
        <v/>
      </c>
      <c r="B780" s="1971">
        <f>'Part VI-Revenues &amp; Expenses'!B18</f>
        <v>50</v>
      </c>
      <c r="C780" s="1972">
        <f>'Part VI-Revenues &amp; Expenses'!C18</f>
        <v>2</v>
      </c>
      <c r="D780" s="1973">
        <f>'Part VI-Revenues &amp; Expenses'!D18</f>
        <v>1</v>
      </c>
      <c r="E780" s="1974">
        <f>'Part VI-Revenues &amp; Expenses'!E18</f>
        <v>8</v>
      </c>
      <c r="F780" s="1974">
        <f>'Part VI-Revenues &amp; Expenses'!F18</f>
        <v>950</v>
      </c>
      <c r="G780" s="1974">
        <f>'Part VI-Revenues &amp; Expenses'!G18</f>
        <v>842</v>
      </c>
      <c r="H780" s="1974">
        <f>'Part VI-Revenues &amp; Expenses'!H18</f>
        <v>842</v>
      </c>
      <c r="I780" s="1974">
        <f>'Part VI-Revenues &amp; Expenses'!I18</f>
        <v>226</v>
      </c>
      <c r="J780" s="1975">
        <f>'Part VI-Revenues &amp; Expenses'!J18</f>
        <v>0</v>
      </c>
      <c r="K780" s="1976">
        <f t="shared" si="1"/>
        <v>616</v>
      </c>
      <c r="L780" s="1976">
        <f t="shared" si="2"/>
        <v>4928</v>
      </c>
      <c r="M780" s="1834" t="str">
        <f>'Part VI-Revenues &amp; Expenses'!M18</f>
        <v>No</v>
      </c>
      <c r="N780" s="1834" t="str">
        <f>'Part VI-Revenues &amp; Expenses'!N18</f>
        <v>2-Story Walkup</v>
      </c>
      <c r="O780" s="1834" t="str">
        <f>'Part VI-Revenues &amp; Expenses'!O18</f>
        <v>New Construction</v>
      </c>
      <c r="P780" s="1958" t="str">
        <f>'Part VI-Revenues &amp; Expenses'!P18</f>
        <v>No</v>
      </c>
      <c r="Q780" s="1977">
        <f>'Part VI-Revenues &amp; Expenses'!Q18</f>
        <v>33680</v>
      </c>
      <c r="R780" s="1978">
        <f>'Part VI-Revenues &amp; Expenses'!R18</f>
        <v>0.50029708853238264</v>
      </c>
      <c r="S780" s="1977">
        <f>'Part VI-Revenues &amp; Expenses'!S18</f>
        <v>0</v>
      </c>
      <c r="T780" s="1978">
        <f>'Part VI-Revenues &amp; Expenses'!T18</f>
        <v>0</v>
      </c>
      <c r="U780" s="1979">
        <f>'Part VI-Revenues &amp; Expenses'!U18:V18</f>
        <v>0</v>
      </c>
      <c r="V780" s="1979"/>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f t="shared" si="20"/>
        <v>8</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f t="shared" si="315"/>
        <v>7600</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8</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980" t="str">
        <f t="shared" si="202"/>
        <v/>
      </c>
      <c r="HZ780" s="1980" t="str">
        <f t="shared" si="203"/>
        <v/>
      </c>
      <c r="IA780" s="1980">
        <f t="shared" si="204"/>
        <v>8</v>
      </c>
      <c r="IB780" s="1980" t="str">
        <f t="shared" si="205"/>
        <v/>
      </c>
      <c r="IC780" s="1980" t="str">
        <f t="shared" si="206"/>
        <v/>
      </c>
      <c r="ID780" s="1980" t="str">
        <f t="shared" si="207"/>
        <v/>
      </c>
      <c r="IE780" s="1980" t="str">
        <f t="shared" si="208"/>
        <v/>
      </c>
      <c r="IF780" s="1980" t="str">
        <f t="shared" si="209"/>
        <v/>
      </c>
      <c r="IG780" s="1980" t="str">
        <f t="shared" si="210"/>
        <v/>
      </c>
      <c r="IH780" s="1980" t="str">
        <f t="shared" si="211"/>
        <v/>
      </c>
      <c r="II780" s="1980" t="str">
        <f t="shared" si="212"/>
        <v/>
      </c>
      <c r="IJ780" s="1980" t="str">
        <f t="shared" si="213"/>
        <v/>
      </c>
      <c r="IK780" s="1980" t="str">
        <f t="shared" si="214"/>
        <v/>
      </c>
      <c r="IL780" s="1980" t="str">
        <f t="shared" si="215"/>
        <v/>
      </c>
      <c r="IM780" s="1980" t="str">
        <f t="shared" si="216"/>
        <v/>
      </c>
      <c r="IN780" s="1980" t="str">
        <f t="shared" si="217"/>
        <v/>
      </c>
      <c r="IO780" s="1980" t="str">
        <f t="shared" si="218"/>
        <v/>
      </c>
      <c r="IP780" s="1980" t="str">
        <f t="shared" si="219"/>
        <v/>
      </c>
      <c r="IQ780" s="1980" t="str">
        <f t="shared" si="220"/>
        <v/>
      </c>
      <c r="IR780" s="1980" t="str">
        <f t="shared" si="221"/>
        <v/>
      </c>
      <c r="IS780" s="1980" t="str">
        <f t="shared" si="222"/>
        <v/>
      </c>
      <c r="IT780" s="1980" t="str">
        <f t="shared" si="223"/>
        <v/>
      </c>
      <c r="IU780" s="1980" t="str">
        <f t="shared" si="224"/>
        <v/>
      </c>
      <c r="IV780" s="1980" t="str">
        <f t="shared" si="225"/>
        <v/>
      </c>
      <c r="IW780" s="1980" t="str">
        <f t="shared" si="226"/>
        <v/>
      </c>
      <c r="IX780" s="1980" t="str">
        <f t="shared" si="227"/>
        <v/>
      </c>
      <c r="IY780" s="1980" t="str">
        <f t="shared" si="228"/>
        <v/>
      </c>
      <c r="IZ780" s="1980" t="str">
        <f t="shared" si="229"/>
        <v/>
      </c>
      <c r="JA780" s="1980" t="str">
        <f t="shared" si="230"/>
        <v/>
      </c>
      <c r="JB780" s="1980" t="str">
        <f t="shared" si="231"/>
        <v/>
      </c>
      <c r="JC780" s="1980" t="str">
        <f t="shared" si="232"/>
        <v/>
      </c>
      <c r="JD780" s="1980" t="str">
        <f t="shared" si="233"/>
        <v/>
      </c>
      <c r="JE780" s="1980" t="str">
        <f t="shared" si="234"/>
        <v/>
      </c>
      <c r="JF780" s="1980" t="str">
        <f t="shared" si="235"/>
        <v/>
      </c>
      <c r="JG780" s="1980" t="str">
        <f t="shared" si="236"/>
        <v/>
      </c>
      <c r="JH780" s="1980" t="str">
        <f t="shared" si="237"/>
        <v/>
      </c>
      <c r="JI780" s="1980" t="str">
        <f t="shared" si="238"/>
        <v/>
      </c>
      <c r="JJ780" s="1980" t="str">
        <f t="shared" si="239"/>
        <v/>
      </c>
      <c r="JK780" s="1980" t="str">
        <f t="shared" si="240"/>
        <v/>
      </c>
      <c r="JL780" s="1980" t="str">
        <f t="shared" si="241"/>
        <v/>
      </c>
      <c r="JM780" s="1980" t="str">
        <f t="shared" si="242"/>
        <v/>
      </c>
      <c r="JN780" s="1980" t="str">
        <f t="shared" si="243"/>
        <v/>
      </c>
      <c r="JO780" s="1980" t="str">
        <f t="shared" si="244"/>
        <v/>
      </c>
      <c r="JP780" s="1980" t="str">
        <f t="shared" si="245"/>
        <v/>
      </c>
      <c r="JQ780" s="1980" t="str">
        <f t="shared" si="246"/>
        <v/>
      </c>
      <c r="JR780" s="1980" t="str">
        <f t="shared" si="247"/>
        <v/>
      </c>
      <c r="JS780" s="1980" t="str">
        <f t="shared" si="248"/>
        <v/>
      </c>
      <c r="JT780" s="1980" t="str">
        <f t="shared" si="249"/>
        <v/>
      </c>
      <c r="JU780" s="1980" t="str">
        <f t="shared" si="250"/>
        <v/>
      </c>
      <c r="JV780" s="1980" t="str">
        <f t="shared" si="251"/>
        <v/>
      </c>
      <c r="JW780" s="1980" t="str">
        <f t="shared" si="252"/>
        <v/>
      </c>
      <c r="JX780" s="1980" t="str">
        <f t="shared" si="253"/>
        <v/>
      </c>
      <c r="JY780" s="1980" t="str">
        <f t="shared" si="254"/>
        <v/>
      </c>
      <c r="JZ780" s="1980" t="str">
        <f t="shared" si="255"/>
        <v/>
      </c>
      <c r="KA780" s="1980" t="str">
        <f t="shared" si="256"/>
        <v/>
      </c>
      <c r="KB780" s="1980" t="str">
        <f t="shared" si="257"/>
        <v/>
      </c>
      <c r="KC780" s="1980" t="str">
        <f t="shared" si="258"/>
        <v/>
      </c>
      <c r="KD780" s="1980" t="str">
        <f t="shared" si="259"/>
        <v/>
      </c>
      <c r="KE780" s="1980" t="str">
        <f t="shared" si="260"/>
        <v/>
      </c>
      <c r="KF780" s="1980" t="str">
        <f t="shared" si="261"/>
        <v/>
      </c>
      <c r="KG780" s="1980" t="str">
        <f t="shared" si="262"/>
        <v/>
      </c>
      <c r="KH780" s="1980" t="str">
        <f t="shared" si="263"/>
        <v/>
      </c>
      <c r="KI780" s="1980" t="str">
        <f t="shared" si="264"/>
        <v/>
      </c>
      <c r="KJ780" s="1980" t="str">
        <f t="shared" si="265"/>
        <v/>
      </c>
      <c r="KK780" s="1980" t="str">
        <f t="shared" si="266"/>
        <v/>
      </c>
      <c r="KL780" s="1980" t="str">
        <f t="shared" si="267"/>
        <v/>
      </c>
      <c r="KM780" s="1980" t="str">
        <f t="shared" si="268"/>
        <v/>
      </c>
      <c r="KN780" s="1980">
        <f t="shared" si="269"/>
        <v>8</v>
      </c>
      <c r="KO780" s="1980" t="str">
        <f t="shared" si="270"/>
        <v/>
      </c>
      <c r="KP780" s="1980" t="str">
        <f t="shared" si="271"/>
        <v/>
      </c>
      <c r="KQ780" s="1980" t="str">
        <f t="shared" si="272"/>
        <v/>
      </c>
      <c r="KR780" s="1980" t="str">
        <f t="shared" si="273"/>
        <v/>
      </c>
      <c r="KS780" s="1980" t="str">
        <f t="shared" si="274"/>
        <v/>
      </c>
      <c r="KT780" s="1980" t="str">
        <f t="shared" si="275"/>
        <v/>
      </c>
      <c r="KU780" s="1980" t="str">
        <f t="shared" si="276"/>
        <v/>
      </c>
      <c r="KV780" s="1980" t="str">
        <f t="shared" si="277"/>
        <v/>
      </c>
      <c r="KW780" s="1980" t="str">
        <f t="shared" si="278"/>
        <v/>
      </c>
      <c r="KX780" s="1980" t="str">
        <f t="shared" si="279"/>
        <v/>
      </c>
      <c r="KY780" s="1980" t="str">
        <f t="shared" si="280"/>
        <v/>
      </c>
      <c r="KZ780" s="1980" t="str">
        <f t="shared" si="281"/>
        <v/>
      </c>
      <c r="LA780" s="1980" t="str">
        <f t="shared" si="282"/>
        <v/>
      </c>
      <c r="LB780" s="1980" t="str">
        <f t="shared" si="283"/>
        <v/>
      </c>
      <c r="LC780" s="1980" t="str">
        <f t="shared" si="284"/>
        <v/>
      </c>
      <c r="LD780" s="1980" t="str">
        <f t="shared" si="285"/>
        <v/>
      </c>
      <c r="LE780" s="1980" t="str">
        <f t="shared" si="286"/>
        <v/>
      </c>
      <c r="LF780" s="1953" t="str">
        <f t="shared" si="287"/>
        <v/>
      </c>
      <c r="LG780" s="1953" t="str">
        <f t="shared" si="288"/>
        <v/>
      </c>
      <c r="LH780" s="1953" t="str">
        <f t="shared" si="289"/>
        <v/>
      </c>
      <c r="LI780" s="1953" t="str">
        <f t="shared" si="290"/>
        <v/>
      </c>
      <c r="LJ780" s="1953"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953">
        <f t="shared" si="323"/>
        <v>0</v>
      </c>
      <c r="MF780" s="1953">
        <f t="shared" si="324"/>
        <v>0</v>
      </c>
      <c r="MG780" s="1953">
        <f t="shared" si="325"/>
        <v>0</v>
      </c>
      <c r="MH780" s="1953">
        <f t="shared" si="326"/>
        <v>0</v>
      </c>
      <c r="MI780" s="1953">
        <f t="shared" si="327"/>
        <v>0</v>
      </c>
      <c r="MJ780" s="1953">
        <f t="shared" si="328"/>
        <v>0</v>
      </c>
      <c r="MK780" s="1953">
        <f t="shared" si="329"/>
        <v>0</v>
      </c>
      <c r="ML780" s="1953">
        <f t="shared" si="330"/>
        <v>8</v>
      </c>
      <c r="MM780" s="1953">
        <f t="shared" si="331"/>
        <v>0</v>
      </c>
      <c r="MN780" s="1953">
        <f t="shared" si="332"/>
        <v>0</v>
      </c>
      <c r="MO780" s="1953">
        <f t="shared" si="333"/>
        <v>0</v>
      </c>
      <c r="MP780" s="1953">
        <f t="shared" si="334"/>
        <v>0</v>
      </c>
      <c r="MQ780" s="1953">
        <f t="shared" si="335"/>
        <v>0</v>
      </c>
      <c r="MR780" s="1953">
        <f t="shared" si="336"/>
        <v>0</v>
      </c>
      <c r="MS780" s="1953">
        <f t="shared" si="337"/>
        <v>0</v>
      </c>
    </row>
    <row r="781" spans="1:357">
      <c r="A781" s="1955" t="str">
        <f t="shared" si="0"/>
        <v/>
      </c>
      <c r="B781" s="1971">
        <f>'Part VI-Revenues &amp; Expenses'!B19</f>
        <v>50</v>
      </c>
      <c r="C781" s="1972">
        <f>'Part VI-Revenues &amp; Expenses'!C19</f>
        <v>3</v>
      </c>
      <c r="D781" s="1973">
        <f>'Part VI-Revenues &amp; Expenses'!D19</f>
        <v>2</v>
      </c>
      <c r="E781" s="1974">
        <f>'Part VI-Revenues &amp; Expenses'!E19</f>
        <v>2</v>
      </c>
      <c r="F781" s="1974">
        <f>'Part VI-Revenues &amp; Expenses'!F19</f>
        <v>1200</v>
      </c>
      <c r="G781" s="1974">
        <f>'Part VI-Revenues &amp; Expenses'!G19</f>
        <v>972</v>
      </c>
      <c r="H781" s="1974">
        <f>'Part VI-Revenues &amp; Expenses'!H19</f>
        <v>972</v>
      </c>
      <c r="I781" s="1974">
        <f>'Part VI-Revenues &amp; Expenses'!I19</f>
        <v>300</v>
      </c>
      <c r="J781" s="1975">
        <f>'Part VI-Revenues &amp; Expenses'!J19</f>
        <v>0</v>
      </c>
      <c r="K781" s="1976">
        <f t="shared" si="1"/>
        <v>672</v>
      </c>
      <c r="L781" s="1976">
        <f t="shared" si="2"/>
        <v>1344</v>
      </c>
      <c r="M781" s="1834" t="str">
        <f>'Part VI-Revenues &amp; Expenses'!M19</f>
        <v>No</v>
      </c>
      <c r="N781" s="1834" t="str">
        <f>'Part VI-Revenues &amp; Expenses'!N19</f>
        <v>2-Story Walkup</v>
      </c>
      <c r="O781" s="1834" t="str">
        <f>'Part VI-Revenues &amp; Expenses'!O19</f>
        <v>New Construction</v>
      </c>
      <c r="P781" s="1958" t="str">
        <f>'Part VI-Revenues &amp; Expenses'!P19</f>
        <v>No</v>
      </c>
      <c r="Q781" s="1977">
        <f>'Part VI-Revenues &amp; Expenses'!Q19</f>
        <v>38880</v>
      </c>
      <c r="R781" s="1978">
        <f>'Part VI-Revenues &amp; Expenses'!R19</f>
        <v>0.49979432332373508</v>
      </c>
      <c r="S781" s="1977">
        <f>'Part VI-Revenues &amp; Expenses'!S19</f>
        <v>0</v>
      </c>
      <c r="T781" s="1978">
        <f>'Part VI-Revenues &amp; Expenses'!T19</f>
        <v>0</v>
      </c>
      <c r="U781" s="1979">
        <f>'Part VI-Revenues &amp; Expenses'!U19:V19</f>
        <v>0</v>
      </c>
      <c r="V781" s="1979"/>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f t="shared" si="21"/>
        <v>2</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t="str">
        <f t="shared" si="315"/>
        <v/>
      </c>
      <c r="EZ781" s="638">
        <f t="shared" si="316"/>
        <v>2400</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t="str">
        <f t="shared" si="159"/>
        <v/>
      </c>
      <c r="GI781" s="638">
        <f t="shared" si="160"/>
        <v>2</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980" t="str">
        <f t="shared" si="202"/>
        <v/>
      </c>
      <c r="HZ781" s="1980" t="str">
        <f t="shared" si="203"/>
        <v/>
      </c>
      <c r="IA781" s="1980" t="str">
        <f t="shared" si="204"/>
        <v/>
      </c>
      <c r="IB781" s="1980">
        <f t="shared" si="205"/>
        <v>2</v>
      </c>
      <c r="IC781" s="1980" t="str">
        <f t="shared" si="206"/>
        <v/>
      </c>
      <c r="ID781" s="1980" t="str">
        <f t="shared" si="207"/>
        <v/>
      </c>
      <c r="IE781" s="1980" t="str">
        <f t="shared" si="208"/>
        <v/>
      </c>
      <c r="IF781" s="1980" t="str">
        <f t="shared" si="209"/>
        <v/>
      </c>
      <c r="IG781" s="1980" t="str">
        <f t="shared" si="210"/>
        <v/>
      </c>
      <c r="IH781" s="1980" t="str">
        <f t="shared" si="211"/>
        <v/>
      </c>
      <c r="II781" s="1980" t="str">
        <f t="shared" si="212"/>
        <v/>
      </c>
      <c r="IJ781" s="1980" t="str">
        <f t="shared" si="213"/>
        <v/>
      </c>
      <c r="IK781" s="1980" t="str">
        <f t="shared" si="214"/>
        <v/>
      </c>
      <c r="IL781" s="1980" t="str">
        <f t="shared" si="215"/>
        <v/>
      </c>
      <c r="IM781" s="1980" t="str">
        <f t="shared" si="216"/>
        <v/>
      </c>
      <c r="IN781" s="1980" t="str">
        <f t="shared" si="217"/>
        <v/>
      </c>
      <c r="IO781" s="1980" t="str">
        <f t="shared" si="218"/>
        <v/>
      </c>
      <c r="IP781" s="1980" t="str">
        <f t="shared" si="219"/>
        <v/>
      </c>
      <c r="IQ781" s="1980" t="str">
        <f t="shared" si="220"/>
        <v/>
      </c>
      <c r="IR781" s="1980" t="str">
        <f t="shared" si="221"/>
        <v/>
      </c>
      <c r="IS781" s="1980" t="str">
        <f t="shared" si="222"/>
        <v/>
      </c>
      <c r="IT781" s="1980" t="str">
        <f t="shared" si="223"/>
        <v/>
      </c>
      <c r="IU781" s="1980" t="str">
        <f t="shared" si="224"/>
        <v/>
      </c>
      <c r="IV781" s="1980" t="str">
        <f t="shared" si="225"/>
        <v/>
      </c>
      <c r="IW781" s="1980" t="str">
        <f t="shared" si="226"/>
        <v/>
      </c>
      <c r="IX781" s="1980" t="str">
        <f t="shared" si="227"/>
        <v/>
      </c>
      <c r="IY781" s="1980" t="str">
        <f t="shared" si="228"/>
        <v/>
      </c>
      <c r="IZ781" s="1980" t="str">
        <f t="shared" si="229"/>
        <v/>
      </c>
      <c r="JA781" s="1980" t="str">
        <f t="shared" si="230"/>
        <v/>
      </c>
      <c r="JB781" s="1980" t="str">
        <f t="shared" si="231"/>
        <v/>
      </c>
      <c r="JC781" s="1980" t="str">
        <f t="shared" si="232"/>
        <v/>
      </c>
      <c r="JD781" s="1980" t="str">
        <f t="shared" si="233"/>
        <v/>
      </c>
      <c r="JE781" s="1980" t="str">
        <f t="shared" si="234"/>
        <v/>
      </c>
      <c r="JF781" s="1980" t="str">
        <f t="shared" si="235"/>
        <v/>
      </c>
      <c r="JG781" s="1980" t="str">
        <f t="shared" si="236"/>
        <v/>
      </c>
      <c r="JH781" s="1980" t="str">
        <f t="shared" si="237"/>
        <v/>
      </c>
      <c r="JI781" s="1980" t="str">
        <f t="shared" si="238"/>
        <v/>
      </c>
      <c r="JJ781" s="1980" t="str">
        <f t="shared" si="239"/>
        <v/>
      </c>
      <c r="JK781" s="1980" t="str">
        <f t="shared" si="240"/>
        <v/>
      </c>
      <c r="JL781" s="1980" t="str">
        <f t="shared" si="241"/>
        <v/>
      </c>
      <c r="JM781" s="1980" t="str">
        <f t="shared" si="242"/>
        <v/>
      </c>
      <c r="JN781" s="1980" t="str">
        <f t="shared" si="243"/>
        <v/>
      </c>
      <c r="JO781" s="1980" t="str">
        <f t="shared" si="244"/>
        <v/>
      </c>
      <c r="JP781" s="1980" t="str">
        <f t="shared" si="245"/>
        <v/>
      </c>
      <c r="JQ781" s="1980" t="str">
        <f t="shared" si="246"/>
        <v/>
      </c>
      <c r="JR781" s="1980" t="str">
        <f t="shared" si="247"/>
        <v/>
      </c>
      <c r="JS781" s="1980" t="str">
        <f t="shared" si="248"/>
        <v/>
      </c>
      <c r="JT781" s="1980" t="str">
        <f t="shared" si="249"/>
        <v/>
      </c>
      <c r="JU781" s="1980" t="str">
        <f t="shared" si="250"/>
        <v/>
      </c>
      <c r="JV781" s="1980" t="str">
        <f t="shared" si="251"/>
        <v/>
      </c>
      <c r="JW781" s="1980" t="str">
        <f t="shared" si="252"/>
        <v/>
      </c>
      <c r="JX781" s="1980" t="str">
        <f t="shared" si="253"/>
        <v/>
      </c>
      <c r="JY781" s="1980" t="str">
        <f t="shared" si="254"/>
        <v/>
      </c>
      <c r="JZ781" s="1980" t="str">
        <f t="shared" si="255"/>
        <v/>
      </c>
      <c r="KA781" s="1980" t="str">
        <f t="shared" si="256"/>
        <v/>
      </c>
      <c r="KB781" s="1980" t="str">
        <f t="shared" si="257"/>
        <v/>
      </c>
      <c r="KC781" s="1980" t="str">
        <f t="shared" si="258"/>
        <v/>
      </c>
      <c r="KD781" s="1980" t="str">
        <f t="shared" si="259"/>
        <v/>
      </c>
      <c r="KE781" s="1980" t="str">
        <f t="shared" si="260"/>
        <v/>
      </c>
      <c r="KF781" s="1980" t="str">
        <f t="shared" si="261"/>
        <v/>
      </c>
      <c r="KG781" s="1980" t="str">
        <f t="shared" si="262"/>
        <v/>
      </c>
      <c r="KH781" s="1980" t="str">
        <f t="shared" si="263"/>
        <v/>
      </c>
      <c r="KI781" s="1980" t="str">
        <f t="shared" si="264"/>
        <v/>
      </c>
      <c r="KJ781" s="1980" t="str">
        <f t="shared" si="265"/>
        <v/>
      </c>
      <c r="KK781" s="1980" t="str">
        <f t="shared" si="266"/>
        <v/>
      </c>
      <c r="KL781" s="1980" t="str">
        <f t="shared" si="267"/>
        <v/>
      </c>
      <c r="KM781" s="1980" t="str">
        <f t="shared" si="268"/>
        <v/>
      </c>
      <c r="KN781" s="1980" t="str">
        <f t="shared" si="269"/>
        <v/>
      </c>
      <c r="KO781" s="1980">
        <f t="shared" si="270"/>
        <v>2</v>
      </c>
      <c r="KP781" s="1980" t="str">
        <f t="shared" si="271"/>
        <v/>
      </c>
      <c r="KQ781" s="1980" t="str">
        <f t="shared" si="272"/>
        <v/>
      </c>
      <c r="KR781" s="1980" t="str">
        <f t="shared" si="273"/>
        <v/>
      </c>
      <c r="KS781" s="1980" t="str">
        <f t="shared" si="274"/>
        <v/>
      </c>
      <c r="KT781" s="1980" t="str">
        <f t="shared" si="275"/>
        <v/>
      </c>
      <c r="KU781" s="1980" t="str">
        <f t="shared" si="276"/>
        <v/>
      </c>
      <c r="KV781" s="1980" t="str">
        <f t="shared" si="277"/>
        <v/>
      </c>
      <c r="KW781" s="1980" t="str">
        <f t="shared" si="278"/>
        <v/>
      </c>
      <c r="KX781" s="1980" t="str">
        <f t="shared" si="279"/>
        <v/>
      </c>
      <c r="KY781" s="1980" t="str">
        <f t="shared" si="280"/>
        <v/>
      </c>
      <c r="KZ781" s="1980" t="str">
        <f t="shared" si="281"/>
        <v/>
      </c>
      <c r="LA781" s="1980" t="str">
        <f t="shared" si="282"/>
        <v/>
      </c>
      <c r="LB781" s="1980" t="str">
        <f t="shared" si="283"/>
        <v/>
      </c>
      <c r="LC781" s="1980" t="str">
        <f t="shared" si="284"/>
        <v/>
      </c>
      <c r="LD781" s="1980" t="str">
        <f t="shared" si="285"/>
        <v/>
      </c>
      <c r="LE781" s="1980" t="str">
        <f t="shared" si="286"/>
        <v/>
      </c>
      <c r="LF781" s="1953" t="str">
        <f t="shared" si="287"/>
        <v/>
      </c>
      <c r="LG781" s="1953" t="str">
        <f t="shared" si="288"/>
        <v/>
      </c>
      <c r="LH781" s="1953" t="str">
        <f t="shared" si="289"/>
        <v/>
      </c>
      <c r="LI781" s="1953" t="str">
        <f t="shared" si="290"/>
        <v/>
      </c>
      <c r="LJ781" s="1953"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953">
        <f t="shared" si="323"/>
        <v>0</v>
      </c>
      <c r="MF781" s="1953">
        <f t="shared" si="324"/>
        <v>0</v>
      </c>
      <c r="MG781" s="1953">
        <f t="shared" si="325"/>
        <v>0</v>
      </c>
      <c r="MH781" s="1953">
        <f t="shared" si="326"/>
        <v>0</v>
      </c>
      <c r="MI781" s="1953">
        <f t="shared" si="327"/>
        <v>0</v>
      </c>
      <c r="MJ781" s="1953">
        <f t="shared" si="328"/>
        <v>0</v>
      </c>
      <c r="MK781" s="1953">
        <f t="shared" si="329"/>
        <v>0</v>
      </c>
      <c r="ML781" s="1953">
        <f t="shared" si="330"/>
        <v>0</v>
      </c>
      <c r="MM781" s="1953">
        <f t="shared" si="331"/>
        <v>2</v>
      </c>
      <c r="MN781" s="1953">
        <f t="shared" si="332"/>
        <v>0</v>
      </c>
      <c r="MO781" s="1953">
        <f t="shared" si="333"/>
        <v>0</v>
      </c>
      <c r="MP781" s="1953">
        <f t="shared" si="334"/>
        <v>0</v>
      </c>
      <c r="MQ781" s="1953">
        <f t="shared" si="335"/>
        <v>0</v>
      </c>
      <c r="MR781" s="1953">
        <f t="shared" si="336"/>
        <v>0</v>
      </c>
      <c r="MS781" s="1953">
        <f t="shared" si="337"/>
        <v>0</v>
      </c>
    </row>
    <row r="782" spans="1:357">
      <c r="A782" s="1955" t="str">
        <f t="shared" si="0"/>
        <v/>
      </c>
      <c r="B782" s="1971">
        <f>'Part VI-Revenues &amp; Expenses'!B20</f>
        <v>60</v>
      </c>
      <c r="C782" s="1972">
        <f>'Part VI-Revenues &amp; Expenses'!C20</f>
        <v>1</v>
      </c>
      <c r="D782" s="1973">
        <f>'Part VI-Revenues &amp; Expenses'!D20</f>
        <v>1</v>
      </c>
      <c r="E782" s="1974">
        <f>'Part VI-Revenues &amp; Expenses'!E20</f>
        <v>21</v>
      </c>
      <c r="F782" s="1974">
        <f>'Part VI-Revenues &amp; Expenses'!F20</f>
        <v>710</v>
      </c>
      <c r="G782" s="1974">
        <f>'Part VI-Revenues &amp; Expenses'!G20</f>
        <v>842</v>
      </c>
      <c r="H782" s="1974">
        <f>'Part VI-Revenues &amp; Expenses'!H20</f>
        <v>842</v>
      </c>
      <c r="I782" s="1974">
        <f>'Part VI-Revenues &amp; Expenses'!I20</f>
        <v>157</v>
      </c>
      <c r="J782" s="1975">
        <f>'Part VI-Revenues &amp; Expenses'!J20</f>
        <v>0</v>
      </c>
      <c r="K782" s="1976">
        <f t="shared" si="1"/>
        <v>685</v>
      </c>
      <c r="L782" s="1976">
        <f t="shared" si="2"/>
        <v>14385</v>
      </c>
      <c r="M782" s="1834" t="str">
        <f>'Part VI-Revenues &amp; Expenses'!M20</f>
        <v>No</v>
      </c>
      <c r="N782" s="1834" t="str">
        <f>'Part VI-Revenues &amp; Expenses'!N20</f>
        <v>2-Story Walkup</v>
      </c>
      <c r="O782" s="1834" t="str">
        <f>'Part VI-Revenues &amp; Expenses'!O20</f>
        <v>New Construction</v>
      </c>
      <c r="P782" s="1958" t="str">
        <f>'Part VI-Revenues &amp; Expenses'!P20</f>
        <v>No</v>
      </c>
      <c r="Q782" s="1977">
        <f>'Part VI-Revenues &amp; Expenses'!Q20</f>
        <v>33680</v>
      </c>
      <c r="R782" s="1978">
        <f>'Part VI-Revenues &amp; Expenses'!R20</f>
        <v>0.60035650623885917</v>
      </c>
      <c r="S782" s="1977">
        <f>'Part VI-Revenues &amp; Expenses'!S20</f>
        <v>0</v>
      </c>
      <c r="T782" s="1978">
        <f>'Part VI-Revenues &amp; Expenses'!T20</f>
        <v>0</v>
      </c>
      <c r="U782" s="1979">
        <f>'Part VI-Revenues &amp; Expenses'!U20:V20</f>
        <v>0</v>
      </c>
      <c r="V782" s="1979"/>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f t="shared" si="14"/>
        <v>21</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f t="shared" si="128"/>
        <v>14910</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f t="shared" si="158"/>
        <v>21</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980" t="str">
        <f t="shared" si="202"/>
        <v/>
      </c>
      <c r="HZ782" s="1980">
        <f t="shared" si="203"/>
        <v>21</v>
      </c>
      <c r="IA782" s="1980" t="str">
        <f t="shared" si="204"/>
        <v/>
      </c>
      <c r="IB782" s="1980" t="str">
        <f t="shared" si="205"/>
        <v/>
      </c>
      <c r="IC782" s="1980" t="str">
        <f t="shared" si="206"/>
        <v/>
      </c>
      <c r="ID782" s="1980" t="str">
        <f t="shared" si="207"/>
        <v/>
      </c>
      <c r="IE782" s="1980" t="str">
        <f t="shared" si="208"/>
        <v/>
      </c>
      <c r="IF782" s="1980" t="str">
        <f t="shared" si="209"/>
        <v/>
      </c>
      <c r="IG782" s="1980" t="str">
        <f t="shared" si="210"/>
        <v/>
      </c>
      <c r="IH782" s="1980" t="str">
        <f t="shared" si="211"/>
        <v/>
      </c>
      <c r="II782" s="1980" t="str">
        <f t="shared" si="212"/>
        <v/>
      </c>
      <c r="IJ782" s="1980" t="str">
        <f t="shared" si="213"/>
        <v/>
      </c>
      <c r="IK782" s="1980" t="str">
        <f t="shared" si="214"/>
        <v/>
      </c>
      <c r="IL782" s="1980" t="str">
        <f t="shared" si="215"/>
        <v/>
      </c>
      <c r="IM782" s="1980" t="str">
        <f t="shared" si="216"/>
        <v/>
      </c>
      <c r="IN782" s="1980" t="str">
        <f t="shared" si="217"/>
        <v/>
      </c>
      <c r="IO782" s="1980" t="str">
        <f t="shared" si="218"/>
        <v/>
      </c>
      <c r="IP782" s="1980" t="str">
        <f t="shared" si="219"/>
        <v/>
      </c>
      <c r="IQ782" s="1980" t="str">
        <f t="shared" si="220"/>
        <v/>
      </c>
      <c r="IR782" s="1980" t="str">
        <f t="shared" si="221"/>
        <v/>
      </c>
      <c r="IS782" s="1980" t="str">
        <f t="shared" si="222"/>
        <v/>
      </c>
      <c r="IT782" s="1980" t="str">
        <f t="shared" si="223"/>
        <v/>
      </c>
      <c r="IU782" s="1980" t="str">
        <f t="shared" si="224"/>
        <v/>
      </c>
      <c r="IV782" s="1980" t="str">
        <f t="shared" si="225"/>
        <v/>
      </c>
      <c r="IW782" s="1980" t="str">
        <f t="shared" si="226"/>
        <v/>
      </c>
      <c r="IX782" s="1980" t="str">
        <f t="shared" si="227"/>
        <v/>
      </c>
      <c r="IY782" s="1980" t="str">
        <f t="shared" si="228"/>
        <v/>
      </c>
      <c r="IZ782" s="1980" t="str">
        <f t="shared" si="229"/>
        <v/>
      </c>
      <c r="JA782" s="1980" t="str">
        <f t="shared" si="230"/>
        <v/>
      </c>
      <c r="JB782" s="1980" t="str">
        <f t="shared" si="231"/>
        <v/>
      </c>
      <c r="JC782" s="1980" t="str">
        <f t="shared" si="232"/>
        <v/>
      </c>
      <c r="JD782" s="1980" t="str">
        <f t="shared" si="233"/>
        <v/>
      </c>
      <c r="JE782" s="1980" t="str">
        <f t="shared" si="234"/>
        <v/>
      </c>
      <c r="JF782" s="1980" t="str">
        <f t="shared" si="235"/>
        <v/>
      </c>
      <c r="JG782" s="1980" t="str">
        <f t="shared" si="236"/>
        <v/>
      </c>
      <c r="JH782" s="1980" t="str">
        <f t="shared" si="237"/>
        <v/>
      </c>
      <c r="JI782" s="1980" t="str">
        <f t="shared" si="238"/>
        <v/>
      </c>
      <c r="JJ782" s="1980" t="str">
        <f t="shared" si="239"/>
        <v/>
      </c>
      <c r="JK782" s="1980" t="str">
        <f t="shared" si="240"/>
        <v/>
      </c>
      <c r="JL782" s="1980" t="str">
        <f t="shared" si="241"/>
        <v/>
      </c>
      <c r="JM782" s="1980" t="str">
        <f t="shared" si="242"/>
        <v/>
      </c>
      <c r="JN782" s="1980" t="str">
        <f t="shared" si="243"/>
        <v/>
      </c>
      <c r="JO782" s="1980" t="str">
        <f t="shared" si="244"/>
        <v/>
      </c>
      <c r="JP782" s="1980" t="str">
        <f t="shared" si="245"/>
        <v/>
      </c>
      <c r="JQ782" s="1980" t="str">
        <f t="shared" si="246"/>
        <v/>
      </c>
      <c r="JR782" s="1980" t="str">
        <f t="shared" si="247"/>
        <v/>
      </c>
      <c r="JS782" s="1980" t="str">
        <f t="shared" si="248"/>
        <v/>
      </c>
      <c r="JT782" s="1980" t="str">
        <f t="shared" si="249"/>
        <v/>
      </c>
      <c r="JU782" s="1980" t="str">
        <f t="shared" si="250"/>
        <v/>
      </c>
      <c r="JV782" s="1980" t="str">
        <f t="shared" si="251"/>
        <v/>
      </c>
      <c r="JW782" s="1980" t="str">
        <f t="shared" si="252"/>
        <v/>
      </c>
      <c r="JX782" s="1980" t="str">
        <f t="shared" si="253"/>
        <v/>
      </c>
      <c r="JY782" s="1980" t="str">
        <f t="shared" si="254"/>
        <v/>
      </c>
      <c r="JZ782" s="1980" t="str">
        <f t="shared" si="255"/>
        <v/>
      </c>
      <c r="KA782" s="1980" t="str">
        <f t="shared" si="256"/>
        <v/>
      </c>
      <c r="KB782" s="1980" t="str">
        <f t="shared" si="257"/>
        <v/>
      </c>
      <c r="KC782" s="1980" t="str">
        <f t="shared" si="258"/>
        <v/>
      </c>
      <c r="KD782" s="1980" t="str">
        <f t="shared" si="259"/>
        <v/>
      </c>
      <c r="KE782" s="1980" t="str">
        <f t="shared" si="260"/>
        <v/>
      </c>
      <c r="KF782" s="1980" t="str">
        <f t="shared" si="261"/>
        <v/>
      </c>
      <c r="KG782" s="1980" t="str">
        <f t="shared" si="262"/>
        <v/>
      </c>
      <c r="KH782" s="1980" t="str">
        <f t="shared" si="263"/>
        <v/>
      </c>
      <c r="KI782" s="1980" t="str">
        <f t="shared" si="264"/>
        <v/>
      </c>
      <c r="KJ782" s="1980" t="str">
        <f t="shared" si="265"/>
        <v/>
      </c>
      <c r="KK782" s="1980" t="str">
        <f t="shared" si="266"/>
        <v/>
      </c>
      <c r="KL782" s="1980" t="str">
        <f t="shared" si="267"/>
        <v/>
      </c>
      <c r="KM782" s="1980">
        <f t="shared" si="268"/>
        <v>21</v>
      </c>
      <c r="KN782" s="1980" t="str">
        <f t="shared" si="269"/>
        <v/>
      </c>
      <c r="KO782" s="1980" t="str">
        <f t="shared" si="270"/>
        <v/>
      </c>
      <c r="KP782" s="1980" t="str">
        <f t="shared" si="271"/>
        <v/>
      </c>
      <c r="KQ782" s="1980" t="str">
        <f t="shared" si="272"/>
        <v/>
      </c>
      <c r="KR782" s="1980" t="str">
        <f t="shared" si="273"/>
        <v/>
      </c>
      <c r="KS782" s="1980" t="str">
        <f t="shared" si="274"/>
        <v/>
      </c>
      <c r="KT782" s="1980" t="str">
        <f t="shared" si="275"/>
        <v/>
      </c>
      <c r="KU782" s="1980" t="str">
        <f t="shared" si="276"/>
        <v/>
      </c>
      <c r="KV782" s="1980" t="str">
        <f t="shared" si="277"/>
        <v/>
      </c>
      <c r="KW782" s="1980" t="str">
        <f t="shared" si="278"/>
        <v/>
      </c>
      <c r="KX782" s="1980" t="str">
        <f t="shared" si="279"/>
        <v/>
      </c>
      <c r="KY782" s="1980" t="str">
        <f t="shared" si="280"/>
        <v/>
      </c>
      <c r="KZ782" s="1980" t="str">
        <f t="shared" si="281"/>
        <v/>
      </c>
      <c r="LA782" s="1980" t="str">
        <f t="shared" si="282"/>
        <v/>
      </c>
      <c r="LB782" s="1980" t="str">
        <f t="shared" si="283"/>
        <v/>
      </c>
      <c r="LC782" s="1980" t="str">
        <f t="shared" si="284"/>
        <v/>
      </c>
      <c r="LD782" s="1980" t="str">
        <f t="shared" si="285"/>
        <v/>
      </c>
      <c r="LE782" s="1980" t="str">
        <f t="shared" si="286"/>
        <v/>
      </c>
      <c r="LF782" s="1953" t="str">
        <f t="shared" si="287"/>
        <v/>
      </c>
      <c r="LG782" s="1953" t="str">
        <f t="shared" si="288"/>
        <v/>
      </c>
      <c r="LH782" s="1953" t="str">
        <f t="shared" si="289"/>
        <v/>
      </c>
      <c r="LI782" s="1953" t="str">
        <f t="shared" si="290"/>
        <v/>
      </c>
      <c r="LJ782" s="1953"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953">
        <f t="shared" si="323"/>
        <v>0</v>
      </c>
      <c r="MF782" s="1953">
        <f t="shared" si="324"/>
        <v>0</v>
      </c>
      <c r="MG782" s="1953">
        <f t="shared" si="325"/>
        <v>0</v>
      </c>
      <c r="MH782" s="1953">
        <f t="shared" si="326"/>
        <v>0</v>
      </c>
      <c r="MI782" s="1953">
        <f t="shared" si="327"/>
        <v>0</v>
      </c>
      <c r="MJ782" s="1953">
        <f t="shared" si="328"/>
        <v>0</v>
      </c>
      <c r="MK782" s="1953">
        <f t="shared" si="329"/>
        <v>21</v>
      </c>
      <c r="ML782" s="1953">
        <f t="shared" si="330"/>
        <v>0</v>
      </c>
      <c r="MM782" s="1953">
        <f t="shared" si="331"/>
        <v>0</v>
      </c>
      <c r="MN782" s="1953">
        <f t="shared" si="332"/>
        <v>0</v>
      </c>
      <c r="MO782" s="1953">
        <f t="shared" si="333"/>
        <v>0</v>
      </c>
      <c r="MP782" s="1953">
        <f t="shared" si="334"/>
        <v>0</v>
      </c>
      <c r="MQ782" s="1953">
        <f t="shared" si="335"/>
        <v>0</v>
      </c>
      <c r="MR782" s="1953">
        <f t="shared" si="336"/>
        <v>0</v>
      </c>
      <c r="MS782" s="1953">
        <f t="shared" si="337"/>
        <v>0</v>
      </c>
    </row>
    <row r="783" spans="1:357">
      <c r="A783" s="1955" t="str">
        <f t="shared" si="0"/>
        <v/>
      </c>
      <c r="B783" s="1971">
        <f>'Part VI-Revenues &amp; Expenses'!B21</f>
        <v>60</v>
      </c>
      <c r="C783" s="1972">
        <f>'Part VI-Revenues &amp; Expenses'!C21</f>
        <v>2</v>
      </c>
      <c r="D783" s="1973">
        <f>'Part VI-Revenues &amp; Expenses'!D21</f>
        <v>1</v>
      </c>
      <c r="E783" s="1974">
        <f>'Part VI-Revenues &amp; Expenses'!E21</f>
        <v>27</v>
      </c>
      <c r="F783" s="1974">
        <f>'Part VI-Revenues &amp; Expenses'!F21</f>
        <v>950</v>
      </c>
      <c r="G783" s="1974">
        <f>'Part VI-Revenues &amp; Expenses'!G21</f>
        <v>1011</v>
      </c>
      <c r="H783" s="1974">
        <f>'Part VI-Revenues &amp; Expenses'!H21</f>
        <v>1011</v>
      </c>
      <c r="I783" s="1974">
        <f>'Part VI-Revenues &amp; Expenses'!I21</f>
        <v>226</v>
      </c>
      <c r="J783" s="1975">
        <f>'Part VI-Revenues &amp; Expenses'!J21</f>
        <v>0</v>
      </c>
      <c r="K783" s="1976">
        <f t="shared" si="1"/>
        <v>785</v>
      </c>
      <c r="L783" s="1976">
        <f t="shared" si="2"/>
        <v>21195</v>
      </c>
      <c r="M783" s="1834" t="str">
        <f>'Part VI-Revenues &amp; Expenses'!M21</f>
        <v>No</v>
      </c>
      <c r="N783" s="1834" t="str">
        <f>'Part VI-Revenues &amp; Expenses'!N21</f>
        <v>2-Story Walkup</v>
      </c>
      <c r="O783" s="1834" t="str">
        <f>'Part VI-Revenues &amp; Expenses'!O21</f>
        <v>New Construction</v>
      </c>
      <c r="P783" s="1958" t="str">
        <f>'Part VI-Revenues &amp; Expenses'!P21</f>
        <v>No</v>
      </c>
      <c r="Q783" s="1977">
        <f>'Part VI-Revenues &amp; Expenses'!Q21</f>
        <v>40440</v>
      </c>
      <c r="R783" s="1978">
        <f>'Part VI-Revenues &amp; Expenses'!R21</f>
        <v>0.60071301247771836</v>
      </c>
      <c r="S783" s="1977">
        <f>'Part VI-Revenues &amp; Expenses'!S21</f>
        <v>0</v>
      </c>
      <c r="T783" s="1978">
        <f>'Part VI-Revenues &amp; Expenses'!T21</f>
        <v>0</v>
      </c>
      <c r="U783" s="1979">
        <f>'Part VI-Revenues &amp; Expenses'!U21:V21</f>
        <v>0</v>
      </c>
      <c r="V783" s="1979"/>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f t="shared" si="15"/>
        <v>27</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f t="shared" si="129"/>
        <v>25650</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27</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980" t="str">
        <f t="shared" si="202"/>
        <v/>
      </c>
      <c r="HZ783" s="1980" t="str">
        <f t="shared" si="203"/>
        <v/>
      </c>
      <c r="IA783" s="1980">
        <f t="shared" si="204"/>
        <v>27</v>
      </c>
      <c r="IB783" s="1980" t="str">
        <f t="shared" si="205"/>
        <v/>
      </c>
      <c r="IC783" s="1980" t="str">
        <f t="shared" si="206"/>
        <v/>
      </c>
      <c r="ID783" s="1980" t="str">
        <f t="shared" si="207"/>
        <v/>
      </c>
      <c r="IE783" s="1980" t="str">
        <f t="shared" si="208"/>
        <v/>
      </c>
      <c r="IF783" s="1980" t="str">
        <f t="shared" si="209"/>
        <v/>
      </c>
      <c r="IG783" s="1980" t="str">
        <f t="shared" si="210"/>
        <v/>
      </c>
      <c r="IH783" s="1980" t="str">
        <f t="shared" si="211"/>
        <v/>
      </c>
      <c r="II783" s="1980" t="str">
        <f t="shared" si="212"/>
        <v/>
      </c>
      <c r="IJ783" s="1980" t="str">
        <f t="shared" si="213"/>
        <v/>
      </c>
      <c r="IK783" s="1980" t="str">
        <f t="shared" si="214"/>
        <v/>
      </c>
      <c r="IL783" s="1980" t="str">
        <f t="shared" si="215"/>
        <v/>
      </c>
      <c r="IM783" s="1980" t="str">
        <f t="shared" si="216"/>
        <v/>
      </c>
      <c r="IN783" s="1980" t="str">
        <f t="shared" si="217"/>
        <v/>
      </c>
      <c r="IO783" s="1980" t="str">
        <f t="shared" si="218"/>
        <v/>
      </c>
      <c r="IP783" s="1980" t="str">
        <f t="shared" si="219"/>
        <v/>
      </c>
      <c r="IQ783" s="1980" t="str">
        <f t="shared" si="220"/>
        <v/>
      </c>
      <c r="IR783" s="1980" t="str">
        <f t="shared" si="221"/>
        <v/>
      </c>
      <c r="IS783" s="1980" t="str">
        <f t="shared" si="222"/>
        <v/>
      </c>
      <c r="IT783" s="1980" t="str">
        <f t="shared" si="223"/>
        <v/>
      </c>
      <c r="IU783" s="1980" t="str">
        <f t="shared" si="224"/>
        <v/>
      </c>
      <c r="IV783" s="1980" t="str">
        <f t="shared" si="225"/>
        <v/>
      </c>
      <c r="IW783" s="1980" t="str">
        <f t="shared" si="226"/>
        <v/>
      </c>
      <c r="IX783" s="1980" t="str">
        <f t="shared" si="227"/>
        <v/>
      </c>
      <c r="IY783" s="1980" t="str">
        <f t="shared" si="228"/>
        <v/>
      </c>
      <c r="IZ783" s="1980" t="str">
        <f t="shared" si="229"/>
        <v/>
      </c>
      <c r="JA783" s="1980" t="str">
        <f t="shared" si="230"/>
        <v/>
      </c>
      <c r="JB783" s="1980" t="str">
        <f t="shared" si="231"/>
        <v/>
      </c>
      <c r="JC783" s="1980" t="str">
        <f t="shared" si="232"/>
        <v/>
      </c>
      <c r="JD783" s="1980" t="str">
        <f t="shared" si="233"/>
        <v/>
      </c>
      <c r="JE783" s="1980" t="str">
        <f t="shared" si="234"/>
        <v/>
      </c>
      <c r="JF783" s="1980" t="str">
        <f t="shared" si="235"/>
        <v/>
      </c>
      <c r="JG783" s="1980" t="str">
        <f t="shared" si="236"/>
        <v/>
      </c>
      <c r="JH783" s="1980" t="str">
        <f t="shared" si="237"/>
        <v/>
      </c>
      <c r="JI783" s="1980" t="str">
        <f t="shared" si="238"/>
        <v/>
      </c>
      <c r="JJ783" s="1980" t="str">
        <f t="shared" si="239"/>
        <v/>
      </c>
      <c r="JK783" s="1980" t="str">
        <f t="shared" si="240"/>
        <v/>
      </c>
      <c r="JL783" s="1980" t="str">
        <f t="shared" si="241"/>
        <v/>
      </c>
      <c r="JM783" s="1980" t="str">
        <f t="shared" si="242"/>
        <v/>
      </c>
      <c r="JN783" s="1980" t="str">
        <f t="shared" si="243"/>
        <v/>
      </c>
      <c r="JO783" s="1980" t="str">
        <f t="shared" si="244"/>
        <v/>
      </c>
      <c r="JP783" s="1980" t="str">
        <f t="shared" si="245"/>
        <v/>
      </c>
      <c r="JQ783" s="1980" t="str">
        <f t="shared" si="246"/>
        <v/>
      </c>
      <c r="JR783" s="1980" t="str">
        <f t="shared" si="247"/>
        <v/>
      </c>
      <c r="JS783" s="1980" t="str">
        <f t="shared" si="248"/>
        <v/>
      </c>
      <c r="JT783" s="1980" t="str">
        <f t="shared" si="249"/>
        <v/>
      </c>
      <c r="JU783" s="1980" t="str">
        <f t="shared" si="250"/>
        <v/>
      </c>
      <c r="JV783" s="1980" t="str">
        <f t="shared" si="251"/>
        <v/>
      </c>
      <c r="JW783" s="1980" t="str">
        <f t="shared" si="252"/>
        <v/>
      </c>
      <c r="JX783" s="1980" t="str">
        <f t="shared" si="253"/>
        <v/>
      </c>
      <c r="JY783" s="1980" t="str">
        <f t="shared" si="254"/>
        <v/>
      </c>
      <c r="JZ783" s="1980" t="str">
        <f t="shared" si="255"/>
        <v/>
      </c>
      <c r="KA783" s="1980" t="str">
        <f t="shared" si="256"/>
        <v/>
      </c>
      <c r="KB783" s="1980" t="str">
        <f t="shared" si="257"/>
        <v/>
      </c>
      <c r="KC783" s="1980" t="str">
        <f t="shared" si="258"/>
        <v/>
      </c>
      <c r="KD783" s="1980" t="str">
        <f t="shared" si="259"/>
        <v/>
      </c>
      <c r="KE783" s="1980" t="str">
        <f t="shared" si="260"/>
        <v/>
      </c>
      <c r="KF783" s="1980" t="str">
        <f t="shared" si="261"/>
        <v/>
      </c>
      <c r="KG783" s="1980" t="str">
        <f t="shared" si="262"/>
        <v/>
      </c>
      <c r="KH783" s="1980" t="str">
        <f t="shared" si="263"/>
        <v/>
      </c>
      <c r="KI783" s="1980" t="str">
        <f t="shared" si="264"/>
        <v/>
      </c>
      <c r="KJ783" s="1980" t="str">
        <f t="shared" si="265"/>
        <v/>
      </c>
      <c r="KK783" s="1980" t="str">
        <f t="shared" si="266"/>
        <v/>
      </c>
      <c r="KL783" s="1980" t="str">
        <f t="shared" si="267"/>
        <v/>
      </c>
      <c r="KM783" s="1980" t="str">
        <f t="shared" si="268"/>
        <v/>
      </c>
      <c r="KN783" s="1980">
        <f t="shared" si="269"/>
        <v>27</v>
      </c>
      <c r="KO783" s="1980" t="str">
        <f t="shared" si="270"/>
        <v/>
      </c>
      <c r="KP783" s="1980" t="str">
        <f t="shared" si="271"/>
        <v/>
      </c>
      <c r="KQ783" s="1980" t="str">
        <f t="shared" si="272"/>
        <v/>
      </c>
      <c r="KR783" s="1980" t="str">
        <f t="shared" si="273"/>
        <v/>
      </c>
      <c r="KS783" s="1980" t="str">
        <f t="shared" si="274"/>
        <v/>
      </c>
      <c r="KT783" s="1980" t="str">
        <f t="shared" si="275"/>
        <v/>
      </c>
      <c r="KU783" s="1980" t="str">
        <f t="shared" si="276"/>
        <v/>
      </c>
      <c r="KV783" s="1980" t="str">
        <f t="shared" si="277"/>
        <v/>
      </c>
      <c r="KW783" s="1980" t="str">
        <f t="shared" si="278"/>
        <v/>
      </c>
      <c r="KX783" s="1980" t="str">
        <f t="shared" si="279"/>
        <v/>
      </c>
      <c r="KY783" s="1980" t="str">
        <f t="shared" si="280"/>
        <v/>
      </c>
      <c r="KZ783" s="1980" t="str">
        <f t="shared" si="281"/>
        <v/>
      </c>
      <c r="LA783" s="1980" t="str">
        <f t="shared" si="282"/>
        <v/>
      </c>
      <c r="LB783" s="1980" t="str">
        <f t="shared" si="283"/>
        <v/>
      </c>
      <c r="LC783" s="1980" t="str">
        <f t="shared" si="284"/>
        <v/>
      </c>
      <c r="LD783" s="1980" t="str">
        <f t="shared" si="285"/>
        <v/>
      </c>
      <c r="LE783" s="1980" t="str">
        <f t="shared" si="286"/>
        <v/>
      </c>
      <c r="LF783" s="1953" t="str">
        <f t="shared" si="287"/>
        <v/>
      </c>
      <c r="LG783" s="1953" t="str">
        <f t="shared" si="288"/>
        <v/>
      </c>
      <c r="LH783" s="1953" t="str">
        <f t="shared" si="289"/>
        <v/>
      </c>
      <c r="LI783" s="1953" t="str">
        <f t="shared" si="290"/>
        <v/>
      </c>
      <c r="LJ783" s="1953"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953">
        <f t="shared" si="323"/>
        <v>0</v>
      </c>
      <c r="MF783" s="1953">
        <f t="shared" si="324"/>
        <v>0</v>
      </c>
      <c r="MG783" s="1953">
        <f t="shared" si="325"/>
        <v>0</v>
      </c>
      <c r="MH783" s="1953">
        <f t="shared" si="326"/>
        <v>0</v>
      </c>
      <c r="MI783" s="1953">
        <f t="shared" si="327"/>
        <v>0</v>
      </c>
      <c r="MJ783" s="1953">
        <f t="shared" si="328"/>
        <v>0</v>
      </c>
      <c r="MK783" s="1953">
        <f t="shared" si="329"/>
        <v>0</v>
      </c>
      <c r="ML783" s="1953">
        <f t="shared" si="330"/>
        <v>27</v>
      </c>
      <c r="MM783" s="1953">
        <f t="shared" si="331"/>
        <v>0</v>
      </c>
      <c r="MN783" s="1953">
        <f t="shared" si="332"/>
        <v>0</v>
      </c>
      <c r="MO783" s="1953">
        <f t="shared" si="333"/>
        <v>0</v>
      </c>
      <c r="MP783" s="1953">
        <f t="shared" si="334"/>
        <v>0</v>
      </c>
      <c r="MQ783" s="1953">
        <f t="shared" si="335"/>
        <v>0</v>
      </c>
      <c r="MR783" s="1953">
        <f t="shared" si="336"/>
        <v>0</v>
      </c>
      <c r="MS783" s="1953">
        <f t="shared" si="337"/>
        <v>0</v>
      </c>
    </row>
    <row r="784" spans="1:357">
      <c r="A784" s="1955" t="str">
        <f t="shared" si="0"/>
        <v/>
      </c>
      <c r="B784" s="1971">
        <f>'Part VI-Revenues &amp; Expenses'!B22</f>
        <v>60</v>
      </c>
      <c r="C784" s="1972">
        <f>'Part VI-Revenues &amp; Expenses'!C22</f>
        <v>3</v>
      </c>
      <c r="D784" s="1973">
        <f>'Part VI-Revenues &amp; Expenses'!D22</f>
        <v>2</v>
      </c>
      <c r="E784" s="1974">
        <f>'Part VI-Revenues &amp; Expenses'!E22</f>
        <v>6</v>
      </c>
      <c r="F784" s="1974">
        <f>'Part VI-Revenues &amp; Expenses'!F22</f>
        <v>1200</v>
      </c>
      <c r="G784" s="1974">
        <f>'Part VI-Revenues &amp; Expenses'!G22</f>
        <v>1167</v>
      </c>
      <c r="H784" s="1974">
        <f>'Part VI-Revenues &amp; Expenses'!H22</f>
        <v>1167</v>
      </c>
      <c r="I784" s="1974">
        <f>'Part VI-Revenues &amp; Expenses'!I22</f>
        <v>300</v>
      </c>
      <c r="J784" s="1975">
        <f>'Part VI-Revenues &amp; Expenses'!J22</f>
        <v>0</v>
      </c>
      <c r="K784" s="1976">
        <f t="shared" si="1"/>
        <v>867</v>
      </c>
      <c r="L784" s="1976">
        <f t="shared" si="2"/>
        <v>5202</v>
      </c>
      <c r="M784" s="1834" t="str">
        <f>'Part VI-Revenues &amp; Expenses'!M22</f>
        <v>No</v>
      </c>
      <c r="N784" s="1834" t="str">
        <f>'Part VI-Revenues &amp; Expenses'!N22</f>
        <v>2-Story Walkup</v>
      </c>
      <c r="O784" s="1834" t="str">
        <f>'Part VI-Revenues &amp; Expenses'!O22</f>
        <v>New Construction</v>
      </c>
      <c r="P784" s="1958" t="str">
        <f>'Part VI-Revenues &amp; Expenses'!P22</f>
        <v>No</v>
      </c>
      <c r="Q784" s="1977">
        <f>'Part VI-Revenues &amp; Expenses'!Q22</f>
        <v>46680</v>
      </c>
      <c r="R784" s="1978">
        <f>'Part VI-Revenues &amp; Expenses'!R22</f>
        <v>0.60006170300287942</v>
      </c>
      <c r="S784" s="1977">
        <f>'Part VI-Revenues &amp; Expenses'!S22</f>
        <v>0</v>
      </c>
      <c r="T784" s="1978">
        <f>'Part VI-Revenues &amp; Expenses'!T22</f>
        <v>0</v>
      </c>
      <c r="U784" s="1979">
        <f>'Part VI-Revenues &amp; Expenses'!U22:V22</f>
        <v>0</v>
      </c>
      <c r="V784" s="1979"/>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f t="shared" si="16"/>
        <v>6</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f t="shared" si="130"/>
        <v>7200</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f t="shared" si="160"/>
        <v>6</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980" t="str">
        <f t="shared" si="202"/>
        <v/>
      </c>
      <c r="HZ784" s="1980" t="str">
        <f t="shared" si="203"/>
        <v/>
      </c>
      <c r="IA784" s="1980" t="str">
        <f t="shared" si="204"/>
        <v/>
      </c>
      <c r="IB784" s="1980">
        <f t="shared" si="205"/>
        <v>6</v>
      </c>
      <c r="IC784" s="1980" t="str">
        <f t="shared" si="206"/>
        <v/>
      </c>
      <c r="ID784" s="1980" t="str">
        <f t="shared" si="207"/>
        <v/>
      </c>
      <c r="IE784" s="1980" t="str">
        <f t="shared" si="208"/>
        <v/>
      </c>
      <c r="IF784" s="1980" t="str">
        <f t="shared" si="209"/>
        <v/>
      </c>
      <c r="IG784" s="1980" t="str">
        <f t="shared" si="210"/>
        <v/>
      </c>
      <c r="IH784" s="1980" t="str">
        <f t="shared" si="211"/>
        <v/>
      </c>
      <c r="II784" s="1980" t="str">
        <f t="shared" si="212"/>
        <v/>
      </c>
      <c r="IJ784" s="1980" t="str">
        <f t="shared" si="213"/>
        <v/>
      </c>
      <c r="IK784" s="1980" t="str">
        <f t="shared" si="214"/>
        <v/>
      </c>
      <c r="IL784" s="1980" t="str">
        <f t="shared" si="215"/>
        <v/>
      </c>
      <c r="IM784" s="1980" t="str">
        <f t="shared" si="216"/>
        <v/>
      </c>
      <c r="IN784" s="1980" t="str">
        <f t="shared" si="217"/>
        <v/>
      </c>
      <c r="IO784" s="1980" t="str">
        <f t="shared" si="218"/>
        <v/>
      </c>
      <c r="IP784" s="1980" t="str">
        <f t="shared" si="219"/>
        <v/>
      </c>
      <c r="IQ784" s="1980" t="str">
        <f t="shared" si="220"/>
        <v/>
      </c>
      <c r="IR784" s="1980" t="str">
        <f t="shared" si="221"/>
        <v/>
      </c>
      <c r="IS784" s="1980" t="str">
        <f t="shared" si="222"/>
        <v/>
      </c>
      <c r="IT784" s="1980" t="str">
        <f t="shared" si="223"/>
        <v/>
      </c>
      <c r="IU784" s="1980" t="str">
        <f t="shared" si="224"/>
        <v/>
      </c>
      <c r="IV784" s="1980" t="str">
        <f t="shared" si="225"/>
        <v/>
      </c>
      <c r="IW784" s="1980" t="str">
        <f t="shared" si="226"/>
        <v/>
      </c>
      <c r="IX784" s="1980" t="str">
        <f t="shared" si="227"/>
        <v/>
      </c>
      <c r="IY784" s="1980" t="str">
        <f t="shared" si="228"/>
        <v/>
      </c>
      <c r="IZ784" s="1980" t="str">
        <f t="shared" si="229"/>
        <v/>
      </c>
      <c r="JA784" s="1980" t="str">
        <f t="shared" si="230"/>
        <v/>
      </c>
      <c r="JB784" s="1980" t="str">
        <f t="shared" si="231"/>
        <v/>
      </c>
      <c r="JC784" s="1980" t="str">
        <f t="shared" si="232"/>
        <v/>
      </c>
      <c r="JD784" s="1980" t="str">
        <f t="shared" si="233"/>
        <v/>
      </c>
      <c r="JE784" s="1980" t="str">
        <f t="shared" si="234"/>
        <v/>
      </c>
      <c r="JF784" s="1980" t="str">
        <f t="shared" si="235"/>
        <v/>
      </c>
      <c r="JG784" s="1980" t="str">
        <f t="shared" si="236"/>
        <v/>
      </c>
      <c r="JH784" s="1980" t="str">
        <f t="shared" si="237"/>
        <v/>
      </c>
      <c r="JI784" s="1980" t="str">
        <f t="shared" si="238"/>
        <v/>
      </c>
      <c r="JJ784" s="1980" t="str">
        <f t="shared" si="239"/>
        <v/>
      </c>
      <c r="JK784" s="1980" t="str">
        <f t="shared" si="240"/>
        <v/>
      </c>
      <c r="JL784" s="1980" t="str">
        <f t="shared" si="241"/>
        <v/>
      </c>
      <c r="JM784" s="1980" t="str">
        <f t="shared" si="242"/>
        <v/>
      </c>
      <c r="JN784" s="1980" t="str">
        <f t="shared" si="243"/>
        <v/>
      </c>
      <c r="JO784" s="1980" t="str">
        <f t="shared" si="244"/>
        <v/>
      </c>
      <c r="JP784" s="1980" t="str">
        <f t="shared" si="245"/>
        <v/>
      </c>
      <c r="JQ784" s="1980" t="str">
        <f t="shared" si="246"/>
        <v/>
      </c>
      <c r="JR784" s="1980" t="str">
        <f t="shared" si="247"/>
        <v/>
      </c>
      <c r="JS784" s="1980" t="str">
        <f t="shared" si="248"/>
        <v/>
      </c>
      <c r="JT784" s="1980" t="str">
        <f t="shared" si="249"/>
        <v/>
      </c>
      <c r="JU784" s="1980" t="str">
        <f t="shared" si="250"/>
        <v/>
      </c>
      <c r="JV784" s="1980" t="str">
        <f t="shared" si="251"/>
        <v/>
      </c>
      <c r="JW784" s="1980" t="str">
        <f t="shared" si="252"/>
        <v/>
      </c>
      <c r="JX784" s="1980" t="str">
        <f t="shared" si="253"/>
        <v/>
      </c>
      <c r="JY784" s="1980" t="str">
        <f t="shared" si="254"/>
        <v/>
      </c>
      <c r="JZ784" s="1980" t="str">
        <f t="shared" si="255"/>
        <v/>
      </c>
      <c r="KA784" s="1980" t="str">
        <f t="shared" si="256"/>
        <v/>
      </c>
      <c r="KB784" s="1980" t="str">
        <f t="shared" si="257"/>
        <v/>
      </c>
      <c r="KC784" s="1980" t="str">
        <f t="shared" si="258"/>
        <v/>
      </c>
      <c r="KD784" s="1980" t="str">
        <f t="shared" si="259"/>
        <v/>
      </c>
      <c r="KE784" s="1980" t="str">
        <f t="shared" si="260"/>
        <v/>
      </c>
      <c r="KF784" s="1980" t="str">
        <f t="shared" si="261"/>
        <v/>
      </c>
      <c r="KG784" s="1980" t="str">
        <f t="shared" si="262"/>
        <v/>
      </c>
      <c r="KH784" s="1980" t="str">
        <f t="shared" si="263"/>
        <v/>
      </c>
      <c r="KI784" s="1980" t="str">
        <f t="shared" si="264"/>
        <v/>
      </c>
      <c r="KJ784" s="1980" t="str">
        <f t="shared" si="265"/>
        <v/>
      </c>
      <c r="KK784" s="1980" t="str">
        <f t="shared" si="266"/>
        <v/>
      </c>
      <c r="KL784" s="1980" t="str">
        <f t="shared" si="267"/>
        <v/>
      </c>
      <c r="KM784" s="1980" t="str">
        <f t="shared" si="268"/>
        <v/>
      </c>
      <c r="KN784" s="1980" t="str">
        <f t="shared" si="269"/>
        <v/>
      </c>
      <c r="KO784" s="1980">
        <f t="shared" si="270"/>
        <v>6</v>
      </c>
      <c r="KP784" s="1980" t="str">
        <f t="shared" si="271"/>
        <v/>
      </c>
      <c r="KQ784" s="1980" t="str">
        <f t="shared" si="272"/>
        <v/>
      </c>
      <c r="KR784" s="1980" t="str">
        <f t="shared" si="273"/>
        <v/>
      </c>
      <c r="KS784" s="1980" t="str">
        <f t="shared" si="274"/>
        <v/>
      </c>
      <c r="KT784" s="1980" t="str">
        <f t="shared" si="275"/>
        <v/>
      </c>
      <c r="KU784" s="1980" t="str">
        <f t="shared" si="276"/>
        <v/>
      </c>
      <c r="KV784" s="1980" t="str">
        <f t="shared" si="277"/>
        <v/>
      </c>
      <c r="KW784" s="1980" t="str">
        <f t="shared" si="278"/>
        <v/>
      </c>
      <c r="KX784" s="1980" t="str">
        <f t="shared" si="279"/>
        <v/>
      </c>
      <c r="KY784" s="1980" t="str">
        <f t="shared" si="280"/>
        <v/>
      </c>
      <c r="KZ784" s="1980" t="str">
        <f t="shared" si="281"/>
        <v/>
      </c>
      <c r="LA784" s="1980" t="str">
        <f t="shared" si="282"/>
        <v/>
      </c>
      <c r="LB784" s="1980" t="str">
        <f t="shared" si="283"/>
        <v/>
      </c>
      <c r="LC784" s="1980" t="str">
        <f t="shared" si="284"/>
        <v/>
      </c>
      <c r="LD784" s="1980" t="str">
        <f t="shared" si="285"/>
        <v/>
      </c>
      <c r="LE784" s="1980" t="str">
        <f t="shared" si="286"/>
        <v/>
      </c>
      <c r="LF784" s="1953" t="str">
        <f t="shared" si="287"/>
        <v/>
      </c>
      <c r="LG784" s="1953" t="str">
        <f t="shared" si="288"/>
        <v/>
      </c>
      <c r="LH784" s="1953" t="str">
        <f t="shared" si="289"/>
        <v/>
      </c>
      <c r="LI784" s="1953" t="str">
        <f t="shared" si="290"/>
        <v/>
      </c>
      <c r="LJ784" s="1953"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953">
        <f t="shared" si="323"/>
        <v>0</v>
      </c>
      <c r="MF784" s="1953">
        <f t="shared" si="324"/>
        <v>0</v>
      </c>
      <c r="MG784" s="1953">
        <f t="shared" si="325"/>
        <v>0</v>
      </c>
      <c r="MH784" s="1953">
        <f t="shared" si="326"/>
        <v>0</v>
      </c>
      <c r="MI784" s="1953">
        <f t="shared" si="327"/>
        <v>0</v>
      </c>
      <c r="MJ784" s="1953">
        <f t="shared" si="328"/>
        <v>0</v>
      </c>
      <c r="MK784" s="1953">
        <f t="shared" si="329"/>
        <v>0</v>
      </c>
      <c r="ML784" s="1953">
        <f t="shared" si="330"/>
        <v>0</v>
      </c>
      <c r="MM784" s="1953">
        <f t="shared" si="331"/>
        <v>6</v>
      </c>
      <c r="MN784" s="1953">
        <f t="shared" si="332"/>
        <v>0</v>
      </c>
      <c r="MO784" s="1953">
        <f t="shared" si="333"/>
        <v>0</v>
      </c>
      <c r="MP784" s="1953">
        <f t="shared" si="334"/>
        <v>0</v>
      </c>
      <c r="MQ784" s="1953">
        <f t="shared" si="335"/>
        <v>0</v>
      </c>
      <c r="MR784" s="1953">
        <f t="shared" si="336"/>
        <v>0</v>
      </c>
      <c r="MS784" s="1953">
        <f t="shared" si="337"/>
        <v>0</v>
      </c>
    </row>
    <row r="785" spans="1:357">
      <c r="A785" s="1955" t="str">
        <f t="shared" si="0"/>
        <v/>
      </c>
      <c r="B785" s="1971">
        <f>'Part VI-Revenues &amp; Expenses'!B23</f>
        <v>0</v>
      </c>
      <c r="C785" s="1972">
        <f>'Part VI-Revenues &amp; Expenses'!C23</f>
        <v>0</v>
      </c>
      <c r="D785" s="1973">
        <f>'Part VI-Revenues &amp; Expenses'!D23</f>
        <v>0</v>
      </c>
      <c r="E785" s="1974">
        <f>'Part VI-Revenues &amp; Expenses'!E23</f>
        <v>0</v>
      </c>
      <c r="F785" s="1974">
        <f>'Part VI-Revenues &amp; Expenses'!F23</f>
        <v>0</v>
      </c>
      <c r="G785" s="1974">
        <f>'Part VI-Revenues &amp; Expenses'!G23</f>
        <v>0</v>
      </c>
      <c r="H785" s="1974">
        <f>'Part VI-Revenues &amp; Expenses'!H23</f>
        <v>0</v>
      </c>
      <c r="I785" s="1974">
        <f>'Part VI-Revenues &amp; Expenses'!I23</f>
        <v>0</v>
      </c>
      <c r="J785" s="1975">
        <f>'Part VI-Revenues &amp; Expenses'!J23</f>
        <v>0</v>
      </c>
      <c r="K785" s="1976">
        <f t="shared" si="1"/>
        <v>0</v>
      </c>
      <c r="L785" s="1976">
        <f t="shared" si="2"/>
        <v>0</v>
      </c>
      <c r="M785" s="1834">
        <f>'Part VI-Revenues &amp; Expenses'!M23</f>
        <v>0</v>
      </c>
      <c r="N785" s="1834">
        <f>'Part VI-Revenues &amp; Expenses'!N23</f>
        <v>0</v>
      </c>
      <c r="O785" s="1834">
        <f>'Part VI-Revenues &amp; Expenses'!O23</f>
        <v>0</v>
      </c>
      <c r="P785" s="1958">
        <f>'Part VI-Revenues &amp; Expenses'!P23</f>
        <v>0</v>
      </c>
      <c r="Q785" s="1977" t="str">
        <f>'Part VI-Revenues &amp; Expenses'!Q23</f>
        <v/>
      </c>
      <c r="R785" s="1978" t="str">
        <f>'Part VI-Revenues &amp; Expenses'!R23</f>
        <v/>
      </c>
      <c r="S785" s="1977">
        <f>'Part VI-Revenues &amp; Expenses'!S23</f>
        <v>0</v>
      </c>
      <c r="T785" s="1978">
        <f>'Part VI-Revenues &amp; Expenses'!T23</f>
        <v>0</v>
      </c>
      <c r="U785" s="1979">
        <f>'Part VI-Revenues &amp; Expenses'!U23:V23</f>
        <v>0</v>
      </c>
      <c r="V785" s="1979"/>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980" t="str">
        <f t="shared" si="202"/>
        <v/>
      </c>
      <c r="HZ785" s="1980" t="str">
        <f t="shared" si="203"/>
        <v/>
      </c>
      <c r="IA785" s="1980" t="str">
        <f t="shared" si="204"/>
        <v/>
      </c>
      <c r="IB785" s="1980" t="str">
        <f t="shared" si="205"/>
        <v/>
      </c>
      <c r="IC785" s="1980" t="str">
        <f t="shared" si="206"/>
        <v/>
      </c>
      <c r="ID785" s="1980" t="str">
        <f t="shared" si="207"/>
        <v/>
      </c>
      <c r="IE785" s="1980" t="str">
        <f t="shared" si="208"/>
        <v/>
      </c>
      <c r="IF785" s="1980" t="str">
        <f t="shared" si="209"/>
        <v/>
      </c>
      <c r="IG785" s="1980" t="str">
        <f t="shared" si="210"/>
        <v/>
      </c>
      <c r="IH785" s="1980" t="str">
        <f t="shared" si="211"/>
        <v/>
      </c>
      <c r="II785" s="1980" t="str">
        <f t="shared" si="212"/>
        <v/>
      </c>
      <c r="IJ785" s="1980" t="str">
        <f t="shared" si="213"/>
        <v/>
      </c>
      <c r="IK785" s="1980" t="str">
        <f t="shared" si="214"/>
        <v/>
      </c>
      <c r="IL785" s="1980" t="str">
        <f t="shared" si="215"/>
        <v/>
      </c>
      <c r="IM785" s="1980" t="str">
        <f t="shared" si="216"/>
        <v/>
      </c>
      <c r="IN785" s="1980" t="str">
        <f t="shared" si="217"/>
        <v/>
      </c>
      <c r="IO785" s="1980" t="str">
        <f t="shared" si="218"/>
        <v/>
      </c>
      <c r="IP785" s="1980" t="str">
        <f t="shared" si="219"/>
        <v/>
      </c>
      <c r="IQ785" s="1980" t="str">
        <f t="shared" si="220"/>
        <v/>
      </c>
      <c r="IR785" s="1980" t="str">
        <f t="shared" si="221"/>
        <v/>
      </c>
      <c r="IS785" s="1980" t="str">
        <f t="shared" si="222"/>
        <v/>
      </c>
      <c r="IT785" s="1980" t="str">
        <f t="shared" si="223"/>
        <v/>
      </c>
      <c r="IU785" s="1980" t="str">
        <f t="shared" si="224"/>
        <v/>
      </c>
      <c r="IV785" s="1980" t="str">
        <f t="shared" si="225"/>
        <v/>
      </c>
      <c r="IW785" s="1980" t="str">
        <f t="shared" si="226"/>
        <v/>
      </c>
      <c r="IX785" s="1980" t="str">
        <f t="shared" si="227"/>
        <v/>
      </c>
      <c r="IY785" s="1980" t="str">
        <f t="shared" si="228"/>
        <v/>
      </c>
      <c r="IZ785" s="1980" t="str">
        <f t="shared" si="229"/>
        <v/>
      </c>
      <c r="JA785" s="1980" t="str">
        <f t="shared" si="230"/>
        <v/>
      </c>
      <c r="JB785" s="1980" t="str">
        <f t="shared" si="231"/>
        <v/>
      </c>
      <c r="JC785" s="1980" t="str">
        <f t="shared" si="232"/>
        <v/>
      </c>
      <c r="JD785" s="1980" t="str">
        <f t="shared" si="233"/>
        <v/>
      </c>
      <c r="JE785" s="1980" t="str">
        <f t="shared" si="234"/>
        <v/>
      </c>
      <c r="JF785" s="1980" t="str">
        <f t="shared" si="235"/>
        <v/>
      </c>
      <c r="JG785" s="1980" t="str">
        <f t="shared" si="236"/>
        <v/>
      </c>
      <c r="JH785" s="1980" t="str">
        <f t="shared" si="237"/>
        <v/>
      </c>
      <c r="JI785" s="1980" t="str">
        <f t="shared" si="238"/>
        <v/>
      </c>
      <c r="JJ785" s="1980" t="str">
        <f t="shared" si="239"/>
        <v/>
      </c>
      <c r="JK785" s="1980" t="str">
        <f t="shared" si="240"/>
        <v/>
      </c>
      <c r="JL785" s="1980" t="str">
        <f t="shared" si="241"/>
        <v/>
      </c>
      <c r="JM785" s="1980" t="str">
        <f t="shared" si="242"/>
        <v/>
      </c>
      <c r="JN785" s="1980" t="str">
        <f t="shared" si="243"/>
        <v/>
      </c>
      <c r="JO785" s="1980" t="str">
        <f t="shared" si="244"/>
        <v/>
      </c>
      <c r="JP785" s="1980" t="str">
        <f t="shared" si="245"/>
        <v/>
      </c>
      <c r="JQ785" s="1980" t="str">
        <f t="shared" si="246"/>
        <v/>
      </c>
      <c r="JR785" s="1980" t="str">
        <f t="shared" si="247"/>
        <v/>
      </c>
      <c r="JS785" s="1980" t="str">
        <f t="shared" si="248"/>
        <v/>
      </c>
      <c r="JT785" s="1980" t="str">
        <f t="shared" si="249"/>
        <v/>
      </c>
      <c r="JU785" s="1980" t="str">
        <f t="shared" si="250"/>
        <v/>
      </c>
      <c r="JV785" s="1980" t="str">
        <f t="shared" si="251"/>
        <v/>
      </c>
      <c r="JW785" s="1980" t="str">
        <f t="shared" si="252"/>
        <v/>
      </c>
      <c r="JX785" s="1980" t="str">
        <f t="shared" si="253"/>
        <v/>
      </c>
      <c r="JY785" s="1980" t="str">
        <f t="shared" si="254"/>
        <v/>
      </c>
      <c r="JZ785" s="1980" t="str">
        <f t="shared" si="255"/>
        <v/>
      </c>
      <c r="KA785" s="1980" t="str">
        <f t="shared" si="256"/>
        <v/>
      </c>
      <c r="KB785" s="1980" t="str">
        <f t="shared" si="257"/>
        <v/>
      </c>
      <c r="KC785" s="1980" t="str">
        <f t="shared" si="258"/>
        <v/>
      </c>
      <c r="KD785" s="1980" t="str">
        <f t="shared" si="259"/>
        <v/>
      </c>
      <c r="KE785" s="1980" t="str">
        <f t="shared" si="260"/>
        <v/>
      </c>
      <c r="KF785" s="1980" t="str">
        <f t="shared" si="261"/>
        <v/>
      </c>
      <c r="KG785" s="1980" t="str">
        <f t="shared" si="262"/>
        <v/>
      </c>
      <c r="KH785" s="1980" t="str">
        <f t="shared" si="263"/>
        <v/>
      </c>
      <c r="KI785" s="1980" t="str">
        <f t="shared" si="264"/>
        <v/>
      </c>
      <c r="KJ785" s="1980" t="str">
        <f t="shared" si="265"/>
        <v/>
      </c>
      <c r="KK785" s="1980" t="str">
        <f t="shared" si="266"/>
        <v/>
      </c>
      <c r="KL785" s="1980" t="str">
        <f t="shared" si="267"/>
        <v/>
      </c>
      <c r="KM785" s="1980" t="str">
        <f t="shared" si="268"/>
        <v/>
      </c>
      <c r="KN785" s="1980" t="str">
        <f t="shared" si="269"/>
        <v/>
      </c>
      <c r="KO785" s="1980" t="str">
        <f t="shared" si="270"/>
        <v/>
      </c>
      <c r="KP785" s="1980" t="str">
        <f t="shared" si="271"/>
        <v/>
      </c>
      <c r="KQ785" s="1980" t="str">
        <f t="shared" si="272"/>
        <v/>
      </c>
      <c r="KR785" s="1980" t="str">
        <f t="shared" si="273"/>
        <v/>
      </c>
      <c r="KS785" s="1980" t="str">
        <f t="shared" si="274"/>
        <v/>
      </c>
      <c r="KT785" s="1980" t="str">
        <f t="shared" si="275"/>
        <v/>
      </c>
      <c r="KU785" s="1980" t="str">
        <f t="shared" si="276"/>
        <v/>
      </c>
      <c r="KV785" s="1980" t="str">
        <f t="shared" si="277"/>
        <v/>
      </c>
      <c r="KW785" s="1980" t="str">
        <f t="shared" si="278"/>
        <v/>
      </c>
      <c r="KX785" s="1980" t="str">
        <f t="shared" si="279"/>
        <v/>
      </c>
      <c r="KY785" s="1980" t="str">
        <f t="shared" si="280"/>
        <v/>
      </c>
      <c r="KZ785" s="1980" t="str">
        <f t="shared" si="281"/>
        <v/>
      </c>
      <c r="LA785" s="1980" t="str">
        <f t="shared" si="282"/>
        <v/>
      </c>
      <c r="LB785" s="1980" t="str">
        <f t="shared" si="283"/>
        <v/>
      </c>
      <c r="LC785" s="1980" t="str">
        <f t="shared" si="284"/>
        <v/>
      </c>
      <c r="LD785" s="1980" t="str">
        <f t="shared" si="285"/>
        <v/>
      </c>
      <c r="LE785" s="1980" t="str">
        <f t="shared" si="286"/>
        <v/>
      </c>
      <c r="LF785" s="1953" t="str">
        <f t="shared" si="287"/>
        <v/>
      </c>
      <c r="LG785" s="1953" t="str">
        <f t="shared" si="288"/>
        <v/>
      </c>
      <c r="LH785" s="1953" t="str">
        <f t="shared" si="289"/>
        <v/>
      </c>
      <c r="LI785" s="1953" t="str">
        <f t="shared" si="290"/>
        <v/>
      </c>
      <c r="LJ785" s="1953"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953">
        <f t="shared" si="323"/>
        <v>0</v>
      </c>
      <c r="MF785" s="1953">
        <f t="shared" si="324"/>
        <v>0</v>
      </c>
      <c r="MG785" s="1953">
        <f t="shared" si="325"/>
        <v>0</v>
      </c>
      <c r="MH785" s="1953">
        <f t="shared" si="326"/>
        <v>0</v>
      </c>
      <c r="MI785" s="1953">
        <f t="shared" si="327"/>
        <v>0</v>
      </c>
      <c r="MJ785" s="1953">
        <f t="shared" si="328"/>
        <v>0</v>
      </c>
      <c r="MK785" s="1953">
        <f t="shared" si="329"/>
        <v>0</v>
      </c>
      <c r="ML785" s="1953">
        <f t="shared" si="330"/>
        <v>0</v>
      </c>
      <c r="MM785" s="1953">
        <f t="shared" si="331"/>
        <v>0</v>
      </c>
      <c r="MN785" s="1953">
        <f t="shared" si="332"/>
        <v>0</v>
      </c>
      <c r="MO785" s="1953">
        <f t="shared" si="333"/>
        <v>0</v>
      </c>
      <c r="MP785" s="1953">
        <f t="shared" si="334"/>
        <v>0</v>
      </c>
      <c r="MQ785" s="1953">
        <f t="shared" si="335"/>
        <v>0</v>
      </c>
      <c r="MR785" s="1953">
        <f t="shared" si="336"/>
        <v>0</v>
      </c>
      <c r="MS785" s="1953">
        <f t="shared" si="337"/>
        <v>0</v>
      </c>
    </row>
    <row r="786" spans="1:357">
      <c r="A786" s="1955" t="str">
        <f t="shared" si="0"/>
        <v/>
      </c>
      <c r="B786" s="1971">
        <f>'Part VI-Revenues &amp; Expenses'!B24</f>
        <v>0</v>
      </c>
      <c r="C786" s="1972">
        <f>'Part VI-Revenues &amp; Expenses'!C24</f>
        <v>0</v>
      </c>
      <c r="D786" s="1973">
        <f>'Part VI-Revenues &amp; Expenses'!D24</f>
        <v>0</v>
      </c>
      <c r="E786" s="1974">
        <f>'Part VI-Revenues &amp; Expenses'!E24</f>
        <v>0</v>
      </c>
      <c r="F786" s="1974">
        <f>'Part VI-Revenues &amp; Expenses'!F24</f>
        <v>0</v>
      </c>
      <c r="G786" s="1974">
        <f>'Part VI-Revenues &amp; Expenses'!G24</f>
        <v>0</v>
      </c>
      <c r="H786" s="1974">
        <f>'Part VI-Revenues &amp; Expenses'!H24</f>
        <v>0</v>
      </c>
      <c r="I786" s="1974">
        <f>'Part VI-Revenues &amp; Expenses'!I24</f>
        <v>0</v>
      </c>
      <c r="J786" s="1975">
        <f>'Part VI-Revenues &amp; Expenses'!J24</f>
        <v>0</v>
      </c>
      <c r="K786" s="1976">
        <f t="shared" si="1"/>
        <v>0</v>
      </c>
      <c r="L786" s="1976">
        <f t="shared" si="2"/>
        <v>0</v>
      </c>
      <c r="M786" s="1834">
        <f>'Part VI-Revenues &amp; Expenses'!M24</f>
        <v>0</v>
      </c>
      <c r="N786" s="1834">
        <f>'Part VI-Revenues &amp; Expenses'!N24</f>
        <v>0</v>
      </c>
      <c r="O786" s="1834">
        <f>'Part VI-Revenues &amp; Expenses'!O24</f>
        <v>0</v>
      </c>
      <c r="P786" s="1958">
        <f>'Part VI-Revenues &amp; Expenses'!P24</f>
        <v>0</v>
      </c>
      <c r="Q786" s="1977" t="str">
        <f>'Part VI-Revenues &amp; Expenses'!Q24</f>
        <v/>
      </c>
      <c r="R786" s="1978" t="str">
        <f>'Part VI-Revenues &amp; Expenses'!R24</f>
        <v/>
      </c>
      <c r="S786" s="1977">
        <f>'Part VI-Revenues &amp; Expenses'!S24</f>
        <v>0</v>
      </c>
      <c r="T786" s="1978">
        <f>'Part VI-Revenues &amp; Expenses'!T24</f>
        <v>0</v>
      </c>
      <c r="U786" s="1979">
        <f>'Part VI-Revenues &amp; Expenses'!U24:V24</f>
        <v>0</v>
      </c>
      <c r="V786" s="1979"/>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980" t="str">
        <f t="shared" si="202"/>
        <v/>
      </c>
      <c r="HZ786" s="1980" t="str">
        <f t="shared" si="203"/>
        <v/>
      </c>
      <c r="IA786" s="1980" t="str">
        <f t="shared" si="204"/>
        <v/>
      </c>
      <c r="IB786" s="1980" t="str">
        <f t="shared" si="205"/>
        <v/>
      </c>
      <c r="IC786" s="1980" t="str">
        <f t="shared" si="206"/>
        <v/>
      </c>
      <c r="ID786" s="1980" t="str">
        <f t="shared" si="207"/>
        <v/>
      </c>
      <c r="IE786" s="1980" t="str">
        <f t="shared" si="208"/>
        <v/>
      </c>
      <c r="IF786" s="1980" t="str">
        <f t="shared" si="209"/>
        <v/>
      </c>
      <c r="IG786" s="1980" t="str">
        <f t="shared" si="210"/>
        <v/>
      </c>
      <c r="IH786" s="1980" t="str">
        <f t="shared" si="211"/>
        <v/>
      </c>
      <c r="II786" s="1980" t="str">
        <f t="shared" si="212"/>
        <v/>
      </c>
      <c r="IJ786" s="1980" t="str">
        <f t="shared" si="213"/>
        <v/>
      </c>
      <c r="IK786" s="1980" t="str">
        <f t="shared" si="214"/>
        <v/>
      </c>
      <c r="IL786" s="1980" t="str">
        <f t="shared" si="215"/>
        <v/>
      </c>
      <c r="IM786" s="1980" t="str">
        <f t="shared" si="216"/>
        <v/>
      </c>
      <c r="IN786" s="1980" t="str">
        <f t="shared" si="217"/>
        <v/>
      </c>
      <c r="IO786" s="1980" t="str">
        <f t="shared" si="218"/>
        <v/>
      </c>
      <c r="IP786" s="1980" t="str">
        <f t="shared" si="219"/>
        <v/>
      </c>
      <c r="IQ786" s="1980" t="str">
        <f t="shared" si="220"/>
        <v/>
      </c>
      <c r="IR786" s="1980" t="str">
        <f t="shared" si="221"/>
        <v/>
      </c>
      <c r="IS786" s="1980" t="str">
        <f t="shared" si="222"/>
        <v/>
      </c>
      <c r="IT786" s="1980" t="str">
        <f t="shared" si="223"/>
        <v/>
      </c>
      <c r="IU786" s="1980" t="str">
        <f t="shared" si="224"/>
        <v/>
      </c>
      <c r="IV786" s="1980" t="str">
        <f t="shared" si="225"/>
        <v/>
      </c>
      <c r="IW786" s="1980" t="str">
        <f t="shared" si="226"/>
        <v/>
      </c>
      <c r="IX786" s="1980" t="str">
        <f t="shared" si="227"/>
        <v/>
      </c>
      <c r="IY786" s="1980" t="str">
        <f t="shared" si="228"/>
        <v/>
      </c>
      <c r="IZ786" s="1980" t="str">
        <f t="shared" si="229"/>
        <v/>
      </c>
      <c r="JA786" s="1980" t="str">
        <f t="shared" si="230"/>
        <v/>
      </c>
      <c r="JB786" s="1980" t="str">
        <f t="shared" si="231"/>
        <v/>
      </c>
      <c r="JC786" s="1980" t="str">
        <f t="shared" si="232"/>
        <v/>
      </c>
      <c r="JD786" s="1980" t="str">
        <f t="shared" si="233"/>
        <v/>
      </c>
      <c r="JE786" s="1980" t="str">
        <f t="shared" si="234"/>
        <v/>
      </c>
      <c r="JF786" s="1980" t="str">
        <f t="shared" si="235"/>
        <v/>
      </c>
      <c r="JG786" s="1980" t="str">
        <f t="shared" si="236"/>
        <v/>
      </c>
      <c r="JH786" s="1980" t="str">
        <f t="shared" si="237"/>
        <v/>
      </c>
      <c r="JI786" s="1980" t="str">
        <f t="shared" si="238"/>
        <v/>
      </c>
      <c r="JJ786" s="1980" t="str">
        <f t="shared" si="239"/>
        <v/>
      </c>
      <c r="JK786" s="1980" t="str">
        <f t="shared" si="240"/>
        <v/>
      </c>
      <c r="JL786" s="1980" t="str">
        <f t="shared" si="241"/>
        <v/>
      </c>
      <c r="JM786" s="1980" t="str">
        <f t="shared" si="242"/>
        <v/>
      </c>
      <c r="JN786" s="1980" t="str">
        <f t="shared" si="243"/>
        <v/>
      </c>
      <c r="JO786" s="1980" t="str">
        <f t="shared" si="244"/>
        <v/>
      </c>
      <c r="JP786" s="1980" t="str">
        <f t="shared" si="245"/>
        <v/>
      </c>
      <c r="JQ786" s="1980" t="str">
        <f t="shared" si="246"/>
        <v/>
      </c>
      <c r="JR786" s="1980" t="str">
        <f t="shared" si="247"/>
        <v/>
      </c>
      <c r="JS786" s="1980" t="str">
        <f t="shared" si="248"/>
        <v/>
      </c>
      <c r="JT786" s="1980" t="str">
        <f t="shared" si="249"/>
        <v/>
      </c>
      <c r="JU786" s="1980" t="str">
        <f t="shared" si="250"/>
        <v/>
      </c>
      <c r="JV786" s="1980" t="str">
        <f t="shared" si="251"/>
        <v/>
      </c>
      <c r="JW786" s="1980" t="str">
        <f t="shared" si="252"/>
        <v/>
      </c>
      <c r="JX786" s="1980" t="str">
        <f t="shared" si="253"/>
        <v/>
      </c>
      <c r="JY786" s="1980" t="str">
        <f t="shared" si="254"/>
        <v/>
      </c>
      <c r="JZ786" s="1980" t="str">
        <f t="shared" si="255"/>
        <v/>
      </c>
      <c r="KA786" s="1980" t="str">
        <f t="shared" si="256"/>
        <v/>
      </c>
      <c r="KB786" s="1980" t="str">
        <f t="shared" si="257"/>
        <v/>
      </c>
      <c r="KC786" s="1980" t="str">
        <f t="shared" si="258"/>
        <v/>
      </c>
      <c r="KD786" s="1980" t="str">
        <f t="shared" si="259"/>
        <v/>
      </c>
      <c r="KE786" s="1980" t="str">
        <f t="shared" si="260"/>
        <v/>
      </c>
      <c r="KF786" s="1980" t="str">
        <f t="shared" si="261"/>
        <v/>
      </c>
      <c r="KG786" s="1980" t="str">
        <f t="shared" si="262"/>
        <v/>
      </c>
      <c r="KH786" s="1980" t="str">
        <f t="shared" si="263"/>
        <v/>
      </c>
      <c r="KI786" s="1980" t="str">
        <f t="shared" si="264"/>
        <v/>
      </c>
      <c r="KJ786" s="1980" t="str">
        <f t="shared" si="265"/>
        <v/>
      </c>
      <c r="KK786" s="1980" t="str">
        <f t="shared" si="266"/>
        <v/>
      </c>
      <c r="KL786" s="1980" t="str">
        <f t="shared" si="267"/>
        <v/>
      </c>
      <c r="KM786" s="1980" t="str">
        <f t="shared" si="268"/>
        <v/>
      </c>
      <c r="KN786" s="1980" t="str">
        <f t="shared" si="269"/>
        <v/>
      </c>
      <c r="KO786" s="1980" t="str">
        <f t="shared" si="270"/>
        <v/>
      </c>
      <c r="KP786" s="1980" t="str">
        <f t="shared" si="271"/>
        <v/>
      </c>
      <c r="KQ786" s="1980" t="str">
        <f t="shared" si="272"/>
        <v/>
      </c>
      <c r="KR786" s="1980" t="str">
        <f t="shared" si="273"/>
        <v/>
      </c>
      <c r="KS786" s="1980" t="str">
        <f t="shared" si="274"/>
        <v/>
      </c>
      <c r="KT786" s="1980" t="str">
        <f t="shared" si="275"/>
        <v/>
      </c>
      <c r="KU786" s="1980" t="str">
        <f t="shared" si="276"/>
        <v/>
      </c>
      <c r="KV786" s="1980" t="str">
        <f t="shared" si="277"/>
        <v/>
      </c>
      <c r="KW786" s="1980" t="str">
        <f t="shared" si="278"/>
        <v/>
      </c>
      <c r="KX786" s="1980" t="str">
        <f t="shared" si="279"/>
        <v/>
      </c>
      <c r="KY786" s="1980" t="str">
        <f t="shared" si="280"/>
        <v/>
      </c>
      <c r="KZ786" s="1980" t="str">
        <f t="shared" si="281"/>
        <v/>
      </c>
      <c r="LA786" s="1980" t="str">
        <f t="shared" si="282"/>
        <v/>
      </c>
      <c r="LB786" s="1980" t="str">
        <f t="shared" si="283"/>
        <v/>
      </c>
      <c r="LC786" s="1980" t="str">
        <f t="shared" si="284"/>
        <v/>
      </c>
      <c r="LD786" s="1980" t="str">
        <f t="shared" si="285"/>
        <v/>
      </c>
      <c r="LE786" s="1980" t="str">
        <f t="shared" si="286"/>
        <v/>
      </c>
      <c r="LF786" s="1953" t="str">
        <f t="shared" si="287"/>
        <v/>
      </c>
      <c r="LG786" s="1953" t="str">
        <f t="shared" si="288"/>
        <v/>
      </c>
      <c r="LH786" s="1953" t="str">
        <f t="shared" si="289"/>
        <v/>
      </c>
      <c r="LI786" s="1953" t="str">
        <f t="shared" si="290"/>
        <v/>
      </c>
      <c r="LJ786" s="1953"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953">
        <f t="shared" si="323"/>
        <v>0</v>
      </c>
      <c r="MF786" s="1953">
        <f t="shared" si="324"/>
        <v>0</v>
      </c>
      <c r="MG786" s="1953">
        <f t="shared" si="325"/>
        <v>0</v>
      </c>
      <c r="MH786" s="1953">
        <f t="shared" si="326"/>
        <v>0</v>
      </c>
      <c r="MI786" s="1953">
        <f t="shared" si="327"/>
        <v>0</v>
      </c>
      <c r="MJ786" s="1953">
        <f t="shared" si="328"/>
        <v>0</v>
      </c>
      <c r="MK786" s="1953">
        <f t="shared" si="329"/>
        <v>0</v>
      </c>
      <c r="ML786" s="1953">
        <f t="shared" si="330"/>
        <v>0</v>
      </c>
      <c r="MM786" s="1953">
        <f t="shared" si="331"/>
        <v>0</v>
      </c>
      <c r="MN786" s="1953">
        <f t="shared" si="332"/>
        <v>0</v>
      </c>
      <c r="MO786" s="1953">
        <f t="shared" si="333"/>
        <v>0</v>
      </c>
      <c r="MP786" s="1953">
        <f t="shared" si="334"/>
        <v>0</v>
      </c>
      <c r="MQ786" s="1953">
        <f t="shared" si="335"/>
        <v>0</v>
      </c>
      <c r="MR786" s="1953">
        <f t="shared" si="336"/>
        <v>0</v>
      </c>
      <c r="MS786" s="1953">
        <f t="shared" si="337"/>
        <v>0</v>
      </c>
    </row>
    <row r="787" spans="1:357">
      <c r="A787" s="1955" t="str">
        <f t="shared" si="0"/>
        <v/>
      </c>
      <c r="B787" s="1971">
        <f>'Part VI-Revenues &amp; Expenses'!B25</f>
        <v>0</v>
      </c>
      <c r="C787" s="1972">
        <f>'Part VI-Revenues &amp; Expenses'!C25</f>
        <v>0</v>
      </c>
      <c r="D787" s="1973">
        <f>'Part VI-Revenues &amp; Expenses'!D25</f>
        <v>0</v>
      </c>
      <c r="E787" s="1974">
        <f>'Part VI-Revenues &amp; Expenses'!E25</f>
        <v>0</v>
      </c>
      <c r="F787" s="1974">
        <f>'Part VI-Revenues &amp; Expenses'!F25</f>
        <v>0</v>
      </c>
      <c r="G787" s="1974">
        <f>'Part VI-Revenues &amp; Expenses'!G25</f>
        <v>0</v>
      </c>
      <c r="H787" s="1974">
        <f>'Part VI-Revenues &amp; Expenses'!H25</f>
        <v>0</v>
      </c>
      <c r="I787" s="1974">
        <f>'Part VI-Revenues &amp; Expenses'!I25</f>
        <v>0</v>
      </c>
      <c r="J787" s="1975">
        <f>'Part VI-Revenues &amp; Expenses'!J25</f>
        <v>0</v>
      </c>
      <c r="K787" s="1976">
        <f t="shared" si="1"/>
        <v>0</v>
      </c>
      <c r="L787" s="1976">
        <f t="shared" si="2"/>
        <v>0</v>
      </c>
      <c r="M787" s="1834">
        <f>'Part VI-Revenues &amp; Expenses'!M25</f>
        <v>0</v>
      </c>
      <c r="N787" s="1834">
        <f>'Part VI-Revenues &amp; Expenses'!N25</f>
        <v>0</v>
      </c>
      <c r="O787" s="1834">
        <f>'Part VI-Revenues &amp; Expenses'!O25</f>
        <v>0</v>
      </c>
      <c r="P787" s="1958">
        <f>'Part VI-Revenues &amp; Expenses'!P25</f>
        <v>0</v>
      </c>
      <c r="Q787" s="1977" t="str">
        <f>'Part VI-Revenues &amp; Expenses'!Q25</f>
        <v/>
      </c>
      <c r="R787" s="1978" t="str">
        <f>'Part VI-Revenues &amp; Expenses'!R25</f>
        <v/>
      </c>
      <c r="S787" s="1977">
        <f>'Part VI-Revenues &amp; Expenses'!S25</f>
        <v>0</v>
      </c>
      <c r="T787" s="1978">
        <f>'Part VI-Revenues &amp; Expenses'!T25</f>
        <v>0</v>
      </c>
      <c r="U787" s="1979">
        <f>'Part VI-Revenues &amp; Expenses'!U25:V25</f>
        <v>0</v>
      </c>
      <c r="V787" s="1979"/>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980" t="str">
        <f t="shared" si="202"/>
        <v/>
      </c>
      <c r="HZ787" s="1980" t="str">
        <f t="shared" si="203"/>
        <v/>
      </c>
      <c r="IA787" s="1980" t="str">
        <f t="shared" si="204"/>
        <v/>
      </c>
      <c r="IB787" s="1980" t="str">
        <f t="shared" si="205"/>
        <v/>
      </c>
      <c r="IC787" s="1980" t="str">
        <f t="shared" si="206"/>
        <v/>
      </c>
      <c r="ID787" s="1980" t="str">
        <f t="shared" si="207"/>
        <v/>
      </c>
      <c r="IE787" s="1980" t="str">
        <f t="shared" si="208"/>
        <v/>
      </c>
      <c r="IF787" s="1980" t="str">
        <f t="shared" si="209"/>
        <v/>
      </c>
      <c r="IG787" s="1980" t="str">
        <f t="shared" si="210"/>
        <v/>
      </c>
      <c r="IH787" s="1980" t="str">
        <f t="shared" si="211"/>
        <v/>
      </c>
      <c r="II787" s="1980" t="str">
        <f t="shared" si="212"/>
        <v/>
      </c>
      <c r="IJ787" s="1980" t="str">
        <f t="shared" si="213"/>
        <v/>
      </c>
      <c r="IK787" s="1980" t="str">
        <f t="shared" si="214"/>
        <v/>
      </c>
      <c r="IL787" s="1980" t="str">
        <f t="shared" si="215"/>
        <v/>
      </c>
      <c r="IM787" s="1980" t="str">
        <f t="shared" si="216"/>
        <v/>
      </c>
      <c r="IN787" s="1980" t="str">
        <f t="shared" si="217"/>
        <v/>
      </c>
      <c r="IO787" s="1980" t="str">
        <f t="shared" si="218"/>
        <v/>
      </c>
      <c r="IP787" s="1980" t="str">
        <f t="shared" si="219"/>
        <v/>
      </c>
      <c r="IQ787" s="1980" t="str">
        <f t="shared" si="220"/>
        <v/>
      </c>
      <c r="IR787" s="1980" t="str">
        <f t="shared" si="221"/>
        <v/>
      </c>
      <c r="IS787" s="1980" t="str">
        <f t="shared" si="222"/>
        <v/>
      </c>
      <c r="IT787" s="1980" t="str">
        <f t="shared" si="223"/>
        <v/>
      </c>
      <c r="IU787" s="1980" t="str">
        <f t="shared" si="224"/>
        <v/>
      </c>
      <c r="IV787" s="1980" t="str">
        <f t="shared" si="225"/>
        <v/>
      </c>
      <c r="IW787" s="1980" t="str">
        <f t="shared" si="226"/>
        <v/>
      </c>
      <c r="IX787" s="1980" t="str">
        <f t="shared" si="227"/>
        <v/>
      </c>
      <c r="IY787" s="1980" t="str">
        <f t="shared" si="228"/>
        <v/>
      </c>
      <c r="IZ787" s="1980" t="str">
        <f t="shared" si="229"/>
        <v/>
      </c>
      <c r="JA787" s="1980" t="str">
        <f t="shared" si="230"/>
        <v/>
      </c>
      <c r="JB787" s="1980" t="str">
        <f t="shared" si="231"/>
        <v/>
      </c>
      <c r="JC787" s="1980" t="str">
        <f t="shared" si="232"/>
        <v/>
      </c>
      <c r="JD787" s="1980" t="str">
        <f t="shared" si="233"/>
        <v/>
      </c>
      <c r="JE787" s="1980" t="str">
        <f t="shared" si="234"/>
        <v/>
      </c>
      <c r="JF787" s="1980" t="str">
        <f t="shared" si="235"/>
        <v/>
      </c>
      <c r="JG787" s="1980" t="str">
        <f t="shared" si="236"/>
        <v/>
      </c>
      <c r="JH787" s="1980" t="str">
        <f t="shared" si="237"/>
        <v/>
      </c>
      <c r="JI787" s="1980" t="str">
        <f t="shared" si="238"/>
        <v/>
      </c>
      <c r="JJ787" s="1980" t="str">
        <f t="shared" si="239"/>
        <v/>
      </c>
      <c r="JK787" s="1980" t="str">
        <f t="shared" si="240"/>
        <v/>
      </c>
      <c r="JL787" s="1980" t="str">
        <f t="shared" si="241"/>
        <v/>
      </c>
      <c r="JM787" s="1980" t="str">
        <f t="shared" si="242"/>
        <v/>
      </c>
      <c r="JN787" s="1980" t="str">
        <f t="shared" si="243"/>
        <v/>
      </c>
      <c r="JO787" s="1980" t="str">
        <f t="shared" si="244"/>
        <v/>
      </c>
      <c r="JP787" s="1980" t="str">
        <f t="shared" si="245"/>
        <v/>
      </c>
      <c r="JQ787" s="1980" t="str">
        <f t="shared" si="246"/>
        <v/>
      </c>
      <c r="JR787" s="1980" t="str">
        <f t="shared" si="247"/>
        <v/>
      </c>
      <c r="JS787" s="1980" t="str">
        <f t="shared" si="248"/>
        <v/>
      </c>
      <c r="JT787" s="1980" t="str">
        <f t="shared" si="249"/>
        <v/>
      </c>
      <c r="JU787" s="1980" t="str">
        <f t="shared" si="250"/>
        <v/>
      </c>
      <c r="JV787" s="1980" t="str">
        <f t="shared" si="251"/>
        <v/>
      </c>
      <c r="JW787" s="1980" t="str">
        <f t="shared" si="252"/>
        <v/>
      </c>
      <c r="JX787" s="1980" t="str">
        <f t="shared" si="253"/>
        <v/>
      </c>
      <c r="JY787" s="1980" t="str">
        <f t="shared" si="254"/>
        <v/>
      </c>
      <c r="JZ787" s="1980" t="str">
        <f t="shared" si="255"/>
        <v/>
      </c>
      <c r="KA787" s="1980" t="str">
        <f t="shared" si="256"/>
        <v/>
      </c>
      <c r="KB787" s="1980" t="str">
        <f t="shared" si="257"/>
        <v/>
      </c>
      <c r="KC787" s="1980" t="str">
        <f t="shared" si="258"/>
        <v/>
      </c>
      <c r="KD787" s="1980" t="str">
        <f t="shared" si="259"/>
        <v/>
      </c>
      <c r="KE787" s="1980" t="str">
        <f t="shared" si="260"/>
        <v/>
      </c>
      <c r="KF787" s="1980" t="str">
        <f t="shared" si="261"/>
        <v/>
      </c>
      <c r="KG787" s="1980" t="str">
        <f t="shared" si="262"/>
        <v/>
      </c>
      <c r="KH787" s="1980" t="str">
        <f t="shared" si="263"/>
        <v/>
      </c>
      <c r="KI787" s="1980" t="str">
        <f t="shared" si="264"/>
        <v/>
      </c>
      <c r="KJ787" s="1980" t="str">
        <f t="shared" si="265"/>
        <v/>
      </c>
      <c r="KK787" s="1980" t="str">
        <f t="shared" si="266"/>
        <v/>
      </c>
      <c r="KL787" s="1980" t="str">
        <f t="shared" si="267"/>
        <v/>
      </c>
      <c r="KM787" s="1980" t="str">
        <f t="shared" si="268"/>
        <v/>
      </c>
      <c r="KN787" s="1980" t="str">
        <f t="shared" si="269"/>
        <v/>
      </c>
      <c r="KO787" s="1980" t="str">
        <f t="shared" si="270"/>
        <v/>
      </c>
      <c r="KP787" s="1980" t="str">
        <f t="shared" si="271"/>
        <v/>
      </c>
      <c r="KQ787" s="1980" t="str">
        <f t="shared" si="272"/>
        <v/>
      </c>
      <c r="KR787" s="1980" t="str">
        <f t="shared" si="273"/>
        <v/>
      </c>
      <c r="KS787" s="1980" t="str">
        <f t="shared" si="274"/>
        <v/>
      </c>
      <c r="KT787" s="1980" t="str">
        <f t="shared" si="275"/>
        <v/>
      </c>
      <c r="KU787" s="1980" t="str">
        <f t="shared" si="276"/>
        <v/>
      </c>
      <c r="KV787" s="1980" t="str">
        <f t="shared" si="277"/>
        <v/>
      </c>
      <c r="KW787" s="1980" t="str">
        <f t="shared" si="278"/>
        <v/>
      </c>
      <c r="KX787" s="1980" t="str">
        <f t="shared" si="279"/>
        <v/>
      </c>
      <c r="KY787" s="1980" t="str">
        <f t="shared" si="280"/>
        <v/>
      </c>
      <c r="KZ787" s="1980" t="str">
        <f t="shared" si="281"/>
        <v/>
      </c>
      <c r="LA787" s="1980" t="str">
        <f t="shared" si="282"/>
        <v/>
      </c>
      <c r="LB787" s="1980" t="str">
        <f t="shared" si="283"/>
        <v/>
      </c>
      <c r="LC787" s="1980" t="str">
        <f t="shared" si="284"/>
        <v/>
      </c>
      <c r="LD787" s="1980" t="str">
        <f t="shared" si="285"/>
        <v/>
      </c>
      <c r="LE787" s="1980" t="str">
        <f t="shared" si="286"/>
        <v/>
      </c>
      <c r="LF787" s="1953" t="str">
        <f t="shared" si="287"/>
        <v/>
      </c>
      <c r="LG787" s="1953" t="str">
        <f t="shared" si="288"/>
        <v/>
      </c>
      <c r="LH787" s="1953" t="str">
        <f t="shared" si="289"/>
        <v/>
      </c>
      <c r="LI787" s="1953" t="str">
        <f t="shared" si="290"/>
        <v/>
      </c>
      <c r="LJ787" s="1953"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953">
        <f t="shared" si="323"/>
        <v>0</v>
      </c>
      <c r="MF787" s="1953">
        <f t="shared" si="324"/>
        <v>0</v>
      </c>
      <c r="MG787" s="1953">
        <f t="shared" si="325"/>
        <v>0</v>
      </c>
      <c r="MH787" s="1953">
        <f t="shared" si="326"/>
        <v>0</v>
      </c>
      <c r="MI787" s="1953">
        <f t="shared" si="327"/>
        <v>0</v>
      </c>
      <c r="MJ787" s="1953">
        <f t="shared" si="328"/>
        <v>0</v>
      </c>
      <c r="MK787" s="1953">
        <f t="shared" si="329"/>
        <v>0</v>
      </c>
      <c r="ML787" s="1953">
        <f t="shared" si="330"/>
        <v>0</v>
      </c>
      <c r="MM787" s="1953">
        <f t="shared" si="331"/>
        <v>0</v>
      </c>
      <c r="MN787" s="1953">
        <f t="shared" si="332"/>
        <v>0</v>
      </c>
      <c r="MO787" s="1953">
        <f t="shared" si="333"/>
        <v>0</v>
      </c>
      <c r="MP787" s="1953">
        <f t="shared" si="334"/>
        <v>0</v>
      </c>
      <c r="MQ787" s="1953">
        <f t="shared" si="335"/>
        <v>0</v>
      </c>
      <c r="MR787" s="1953">
        <f t="shared" si="336"/>
        <v>0</v>
      </c>
      <c r="MS787" s="1953">
        <f t="shared" si="337"/>
        <v>0</v>
      </c>
    </row>
    <row r="788" spans="1:357">
      <c r="A788" s="1955" t="str">
        <f t="shared" si="0"/>
        <v/>
      </c>
      <c r="B788" s="1971">
        <f>'Part VI-Revenues &amp; Expenses'!B26</f>
        <v>0</v>
      </c>
      <c r="C788" s="1972">
        <f>'Part VI-Revenues &amp; Expenses'!C26</f>
        <v>0</v>
      </c>
      <c r="D788" s="1973">
        <f>'Part VI-Revenues &amp; Expenses'!D26</f>
        <v>0</v>
      </c>
      <c r="E788" s="1974">
        <f>'Part VI-Revenues &amp; Expenses'!E26</f>
        <v>0</v>
      </c>
      <c r="F788" s="1974">
        <f>'Part VI-Revenues &amp; Expenses'!F26</f>
        <v>0</v>
      </c>
      <c r="G788" s="1974">
        <f>'Part VI-Revenues &amp; Expenses'!G26</f>
        <v>0</v>
      </c>
      <c r="H788" s="1974">
        <f>'Part VI-Revenues &amp; Expenses'!H26</f>
        <v>0</v>
      </c>
      <c r="I788" s="1974">
        <f>'Part VI-Revenues &amp; Expenses'!I26</f>
        <v>0</v>
      </c>
      <c r="J788" s="1975">
        <f>'Part VI-Revenues &amp; Expenses'!J26</f>
        <v>0</v>
      </c>
      <c r="K788" s="1976">
        <f t="shared" si="1"/>
        <v>0</v>
      </c>
      <c r="L788" s="1976">
        <f t="shared" si="2"/>
        <v>0</v>
      </c>
      <c r="M788" s="1834">
        <f>'Part VI-Revenues &amp; Expenses'!M26</f>
        <v>0</v>
      </c>
      <c r="N788" s="1834">
        <f>'Part VI-Revenues &amp; Expenses'!N26</f>
        <v>0</v>
      </c>
      <c r="O788" s="1834">
        <f>'Part VI-Revenues &amp; Expenses'!O26</f>
        <v>0</v>
      </c>
      <c r="P788" s="1958">
        <f>'Part VI-Revenues &amp; Expenses'!P26</f>
        <v>0</v>
      </c>
      <c r="Q788" s="1977" t="str">
        <f>'Part VI-Revenues &amp; Expenses'!Q26</f>
        <v/>
      </c>
      <c r="R788" s="1978" t="str">
        <f>'Part VI-Revenues &amp; Expenses'!R26</f>
        <v/>
      </c>
      <c r="S788" s="1977">
        <f>'Part VI-Revenues &amp; Expenses'!S26</f>
        <v>0</v>
      </c>
      <c r="T788" s="1978">
        <f>'Part VI-Revenues &amp; Expenses'!T26</f>
        <v>0</v>
      </c>
      <c r="U788" s="1979">
        <f>'Part VI-Revenues &amp; Expenses'!U26:V26</f>
        <v>0</v>
      </c>
      <c r="V788" s="1979"/>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980" t="str">
        <f t="shared" si="202"/>
        <v/>
      </c>
      <c r="HZ788" s="1980" t="str">
        <f t="shared" si="203"/>
        <v/>
      </c>
      <c r="IA788" s="1980" t="str">
        <f t="shared" si="204"/>
        <v/>
      </c>
      <c r="IB788" s="1980" t="str">
        <f t="shared" si="205"/>
        <v/>
      </c>
      <c r="IC788" s="1980" t="str">
        <f t="shared" si="206"/>
        <v/>
      </c>
      <c r="ID788" s="1980" t="str">
        <f t="shared" si="207"/>
        <v/>
      </c>
      <c r="IE788" s="1980" t="str">
        <f t="shared" si="208"/>
        <v/>
      </c>
      <c r="IF788" s="1980" t="str">
        <f t="shared" si="209"/>
        <v/>
      </c>
      <c r="IG788" s="1980" t="str">
        <f t="shared" si="210"/>
        <v/>
      </c>
      <c r="IH788" s="1980" t="str">
        <f t="shared" si="211"/>
        <v/>
      </c>
      <c r="II788" s="1980" t="str">
        <f t="shared" si="212"/>
        <v/>
      </c>
      <c r="IJ788" s="1980" t="str">
        <f t="shared" si="213"/>
        <v/>
      </c>
      <c r="IK788" s="1980" t="str">
        <f t="shared" si="214"/>
        <v/>
      </c>
      <c r="IL788" s="1980" t="str">
        <f t="shared" si="215"/>
        <v/>
      </c>
      <c r="IM788" s="1980" t="str">
        <f t="shared" si="216"/>
        <v/>
      </c>
      <c r="IN788" s="1980" t="str">
        <f t="shared" si="217"/>
        <v/>
      </c>
      <c r="IO788" s="1980" t="str">
        <f t="shared" si="218"/>
        <v/>
      </c>
      <c r="IP788" s="1980" t="str">
        <f t="shared" si="219"/>
        <v/>
      </c>
      <c r="IQ788" s="1980" t="str">
        <f t="shared" si="220"/>
        <v/>
      </c>
      <c r="IR788" s="1980" t="str">
        <f t="shared" si="221"/>
        <v/>
      </c>
      <c r="IS788" s="1980" t="str">
        <f t="shared" si="222"/>
        <v/>
      </c>
      <c r="IT788" s="1980" t="str">
        <f t="shared" si="223"/>
        <v/>
      </c>
      <c r="IU788" s="1980" t="str">
        <f t="shared" si="224"/>
        <v/>
      </c>
      <c r="IV788" s="1980" t="str">
        <f t="shared" si="225"/>
        <v/>
      </c>
      <c r="IW788" s="1980" t="str">
        <f t="shared" si="226"/>
        <v/>
      </c>
      <c r="IX788" s="1980" t="str">
        <f t="shared" si="227"/>
        <v/>
      </c>
      <c r="IY788" s="1980" t="str">
        <f t="shared" si="228"/>
        <v/>
      </c>
      <c r="IZ788" s="1980" t="str">
        <f t="shared" si="229"/>
        <v/>
      </c>
      <c r="JA788" s="1980" t="str">
        <f t="shared" si="230"/>
        <v/>
      </c>
      <c r="JB788" s="1980" t="str">
        <f t="shared" si="231"/>
        <v/>
      </c>
      <c r="JC788" s="1980" t="str">
        <f t="shared" si="232"/>
        <v/>
      </c>
      <c r="JD788" s="1980" t="str">
        <f t="shared" si="233"/>
        <v/>
      </c>
      <c r="JE788" s="1980" t="str">
        <f t="shared" si="234"/>
        <v/>
      </c>
      <c r="JF788" s="1980" t="str">
        <f t="shared" si="235"/>
        <v/>
      </c>
      <c r="JG788" s="1980" t="str">
        <f t="shared" si="236"/>
        <v/>
      </c>
      <c r="JH788" s="1980" t="str">
        <f t="shared" si="237"/>
        <v/>
      </c>
      <c r="JI788" s="1980" t="str">
        <f t="shared" si="238"/>
        <v/>
      </c>
      <c r="JJ788" s="1980" t="str">
        <f t="shared" si="239"/>
        <v/>
      </c>
      <c r="JK788" s="1980" t="str">
        <f t="shared" si="240"/>
        <v/>
      </c>
      <c r="JL788" s="1980" t="str">
        <f t="shared" si="241"/>
        <v/>
      </c>
      <c r="JM788" s="1980" t="str">
        <f t="shared" si="242"/>
        <v/>
      </c>
      <c r="JN788" s="1980" t="str">
        <f t="shared" si="243"/>
        <v/>
      </c>
      <c r="JO788" s="1980" t="str">
        <f t="shared" si="244"/>
        <v/>
      </c>
      <c r="JP788" s="1980" t="str">
        <f t="shared" si="245"/>
        <v/>
      </c>
      <c r="JQ788" s="1980" t="str">
        <f t="shared" si="246"/>
        <v/>
      </c>
      <c r="JR788" s="1980" t="str">
        <f t="shared" si="247"/>
        <v/>
      </c>
      <c r="JS788" s="1980" t="str">
        <f t="shared" si="248"/>
        <v/>
      </c>
      <c r="JT788" s="1980" t="str">
        <f t="shared" si="249"/>
        <v/>
      </c>
      <c r="JU788" s="1980" t="str">
        <f t="shared" si="250"/>
        <v/>
      </c>
      <c r="JV788" s="1980" t="str">
        <f t="shared" si="251"/>
        <v/>
      </c>
      <c r="JW788" s="1980" t="str">
        <f t="shared" si="252"/>
        <v/>
      </c>
      <c r="JX788" s="1980" t="str">
        <f t="shared" si="253"/>
        <v/>
      </c>
      <c r="JY788" s="1980" t="str">
        <f t="shared" si="254"/>
        <v/>
      </c>
      <c r="JZ788" s="1980" t="str">
        <f t="shared" si="255"/>
        <v/>
      </c>
      <c r="KA788" s="1980" t="str">
        <f t="shared" si="256"/>
        <v/>
      </c>
      <c r="KB788" s="1980" t="str">
        <f t="shared" si="257"/>
        <v/>
      </c>
      <c r="KC788" s="1980" t="str">
        <f t="shared" si="258"/>
        <v/>
      </c>
      <c r="KD788" s="1980" t="str">
        <f t="shared" si="259"/>
        <v/>
      </c>
      <c r="KE788" s="1980" t="str">
        <f t="shared" si="260"/>
        <v/>
      </c>
      <c r="KF788" s="1980" t="str">
        <f t="shared" si="261"/>
        <v/>
      </c>
      <c r="KG788" s="1980" t="str">
        <f t="shared" si="262"/>
        <v/>
      </c>
      <c r="KH788" s="1980" t="str">
        <f t="shared" si="263"/>
        <v/>
      </c>
      <c r="KI788" s="1980" t="str">
        <f t="shared" si="264"/>
        <v/>
      </c>
      <c r="KJ788" s="1980" t="str">
        <f t="shared" si="265"/>
        <v/>
      </c>
      <c r="KK788" s="1980" t="str">
        <f t="shared" si="266"/>
        <v/>
      </c>
      <c r="KL788" s="1980" t="str">
        <f t="shared" si="267"/>
        <v/>
      </c>
      <c r="KM788" s="1980" t="str">
        <f t="shared" si="268"/>
        <v/>
      </c>
      <c r="KN788" s="1980" t="str">
        <f t="shared" si="269"/>
        <v/>
      </c>
      <c r="KO788" s="1980" t="str">
        <f t="shared" si="270"/>
        <v/>
      </c>
      <c r="KP788" s="1980" t="str">
        <f t="shared" si="271"/>
        <v/>
      </c>
      <c r="KQ788" s="1980" t="str">
        <f t="shared" si="272"/>
        <v/>
      </c>
      <c r="KR788" s="1980" t="str">
        <f t="shared" si="273"/>
        <v/>
      </c>
      <c r="KS788" s="1980" t="str">
        <f t="shared" si="274"/>
        <v/>
      </c>
      <c r="KT788" s="1980" t="str">
        <f t="shared" si="275"/>
        <v/>
      </c>
      <c r="KU788" s="1980" t="str">
        <f t="shared" si="276"/>
        <v/>
      </c>
      <c r="KV788" s="1980" t="str">
        <f t="shared" si="277"/>
        <v/>
      </c>
      <c r="KW788" s="1980" t="str">
        <f t="shared" si="278"/>
        <v/>
      </c>
      <c r="KX788" s="1980" t="str">
        <f t="shared" si="279"/>
        <v/>
      </c>
      <c r="KY788" s="1980" t="str">
        <f t="shared" si="280"/>
        <v/>
      </c>
      <c r="KZ788" s="1980" t="str">
        <f t="shared" si="281"/>
        <v/>
      </c>
      <c r="LA788" s="1980" t="str">
        <f t="shared" si="282"/>
        <v/>
      </c>
      <c r="LB788" s="1980" t="str">
        <f t="shared" si="283"/>
        <v/>
      </c>
      <c r="LC788" s="1980" t="str">
        <f t="shared" si="284"/>
        <v/>
      </c>
      <c r="LD788" s="1980" t="str">
        <f t="shared" si="285"/>
        <v/>
      </c>
      <c r="LE788" s="1980" t="str">
        <f t="shared" si="286"/>
        <v/>
      </c>
      <c r="LF788" s="1953" t="str">
        <f t="shared" si="287"/>
        <v/>
      </c>
      <c r="LG788" s="1953" t="str">
        <f t="shared" si="288"/>
        <v/>
      </c>
      <c r="LH788" s="1953" t="str">
        <f t="shared" si="289"/>
        <v/>
      </c>
      <c r="LI788" s="1953" t="str">
        <f t="shared" si="290"/>
        <v/>
      </c>
      <c r="LJ788" s="1953"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953">
        <f t="shared" si="323"/>
        <v>0</v>
      </c>
      <c r="MF788" s="1953">
        <f t="shared" si="324"/>
        <v>0</v>
      </c>
      <c r="MG788" s="1953">
        <f t="shared" si="325"/>
        <v>0</v>
      </c>
      <c r="MH788" s="1953">
        <f t="shared" si="326"/>
        <v>0</v>
      </c>
      <c r="MI788" s="1953">
        <f t="shared" si="327"/>
        <v>0</v>
      </c>
      <c r="MJ788" s="1953">
        <f t="shared" si="328"/>
        <v>0</v>
      </c>
      <c r="MK788" s="1953">
        <f t="shared" si="329"/>
        <v>0</v>
      </c>
      <c r="ML788" s="1953">
        <f t="shared" si="330"/>
        <v>0</v>
      </c>
      <c r="MM788" s="1953">
        <f t="shared" si="331"/>
        <v>0</v>
      </c>
      <c r="MN788" s="1953">
        <f t="shared" si="332"/>
        <v>0</v>
      </c>
      <c r="MO788" s="1953">
        <f t="shared" si="333"/>
        <v>0</v>
      </c>
      <c r="MP788" s="1953">
        <f t="shared" si="334"/>
        <v>0</v>
      </c>
      <c r="MQ788" s="1953">
        <f t="shared" si="335"/>
        <v>0</v>
      </c>
      <c r="MR788" s="1953">
        <f t="shared" si="336"/>
        <v>0</v>
      </c>
      <c r="MS788" s="1953">
        <f t="shared" si="337"/>
        <v>0</v>
      </c>
    </row>
    <row r="789" spans="1:357">
      <c r="A789" s="1955" t="str">
        <f t="shared" si="0"/>
        <v/>
      </c>
      <c r="B789" s="1971">
        <f>'Part VI-Revenues &amp; Expenses'!B27</f>
        <v>0</v>
      </c>
      <c r="C789" s="1972">
        <f>'Part VI-Revenues &amp; Expenses'!C27</f>
        <v>0</v>
      </c>
      <c r="D789" s="1973">
        <f>'Part VI-Revenues &amp; Expenses'!D27</f>
        <v>0</v>
      </c>
      <c r="E789" s="1974">
        <f>'Part VI-Revenues &amp; Expenses'!E27</f>
        <v>0</v>
      </c>
      <c r="F789" s="1974">
        <f>'Part VI-Revenues &amp; Expenses'!F27</f>
        <v>0</v>
      </c>
      <c r="G789" s="1974">
        <f>'Part VI-Revenues &amp; Expenses'!G27</f>
        <v>0</v>
      </c>
      <c r="H789" s="1974">
        <f>'Part VI-Revenues &amp; Expenses'!H27</f>
        <v>0</v>
      </c>
      <c r="I789" s="1974">
        <f>'Part VI-Revenues &amp; Expenses'!I27</f>
        <v>0</v>
      </c>
      <c r="J789" s="1975">
        <f>'Part VI-Revenues &amp; Expenses'!J27</f>
        <v>0</v>
      </c>
      <c r="K789" s="1976">
        <f t="shared" si="1"/>
        <v>0</v>
      </c>
      <c r="L789" s="1976">
        <f t="shared" si="2"/>
        <v>0</v>
      </c>
      <c r="M789" s="1834">
        <f>'Part VI-Revenues &amp; Expenses'!M27</f>
        <v>0</v>
      </c>
      <c r="N789" s="1834">
        <f>'Part VI-Revenues &amp; Expenses'!N27</f>
        <v>0</v>
      </c>
      <c r="O789" s="1834">
        <f>'Part VI-Revenues &amp; Expenses'!O27</f>
        <v>0</v>
      </c>
      <c r="P789" s="1958">
        <f>'Part VI-Revenues &amp; Expenses'!P27</f>
        <v>0</v>
      </c>
      <c r="Q789" s="1977" t="str">
        <f>'Part VI-Revenues &amp; Expenses'!Q27</f>
        <v/>
      </c>
      <c r="R789" s="1978" t="str">
        <f>'Part VI-Revenues &amp; Expenses'!R27</f>
        <v/>
      </c>
      <c r="S789" s="1977">
        <f>'Part VI-Revenues &amp; Expenses'!S27</f>
        <v>0</v>
      </c>
      <c r="T789" s="1978">
        <f>'Part VI-Revenues &amp; Expenses'!T27</f>
        <v>0</v>
      </c>
      <c r="U789" s="1979">
        <f>'Part VI-Revenues &amp; Expenses'!U27:V27</f>
        <v>0</v>
      </c>
      <c r="V789" s="1979"/>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980" t="str">
        <f t="shared" si="202"/>
        <v/>
      </c>
      <c r="HZ789" s="1980" t="str">
        <f t="shared" si="203"/>
        <v/>
      </c>
      <c r="IA789" s="1980" t="str">
        <f t="shared" si="204"/>
        <v/>
      </c>
      <c r="IB789" s="1980" t="str">
        <f t="shared" si="205"/>
        <v/>
      </c>
      <c r="IC789" s="1980" t="str">
        <f t="shared" si="206"/>
        <v/>
      </c>
      <c r="ID789" s="1980" t="str">
        <f t="shared" si="207"/>
        <v/>
      </c>
      <c r="IE789" s="1980" t="str">
        <f t="shared" si="208"/>
        <v/>
      </c>
      <c r="IF789" s="1980" t="str">
        <f t="shared" si="209"/>
        <v/>
      </c>
      <c r="IG789" s="1980" t="str">
        <f t="shared" si="210"/>
        <v/>
      </c>
      <c r="IH789" s="1980" t="str">
        <f t="shared" si="211"/>
        <v/>
      </c>
      <c r="II789" s="1980" t="str">
        <f t="shared" si="212"/>
        <v/>
      </c>
      <c r="IJ789" s="1980" t="str">
        <f t="shared" si="213"/>
        <v/>
      </c>
      <c r="IK789" s="1980" t="str">
        <f t="shared" si="214"/>
        <v/>
      </c>
      <c r="IL789" s="1980" t="str">
        <f t="shared" si="215"/>
        <v/>
      </c>
      <c r="IM789" s="1980" t="str">
        <f t="shared" si="216"/>
        <v/>
      </c>
      <c r="IN789" s="1980" t="str">
        <f t="shared" si="217"/>
        <v/>
      </c>
      <c r="IO789" s="1980" t="str">
        <f t="shared" si="218"/>
        <v/>
      </c>
      <c r="IP789" s="1980" t="str">
        <f t="shared" si="219"/>
        <v/>
      </c>
      <c r="IQ789" s="1980" t="str">
        <f t="shared" si="220"/>
        <v/>
      </c>
      <c r="IR789" s="1980" t="str">
        <f t="shared" si="221"/>
        <v/>
      </c>
      <c r="IS789" s="1980" t="str">
        <f t="shared" si="222"/>
        <v/>
      </c>
      <c r="IT789" s="1980" t="str">
        <f t="shared" si="223"/>
        <v/>
      </c>
      <c r="IU789" s="1980" t="str">
        <f t="shared" si="224"/>
        <v/>
      </c>
      <c r="IV789" s="1980" t="str">
        <f t="shared" si="225"/>
        <v/>
      </c>
      <c r="IW789" s="1980" t="str">
        <f t="shared" si="226"/>
        <v/>
      </c>
      <c r="IX789" s="1980" t="str">
        <f t="shared" si="227"/>
        <v/>
      </c>
      <c r="IY789" s="1980" t="str">
        <f t="shared" si="228"/>
        <v/>
      </c>
      <c r="IZ789" s="1980" t="str">
        <f t="shared" si="229"/>
        <v/>
      </c>
      <c r="JA789" s="1980" t="str">
        <f t="shared" si="230"/>
        <v/>
      </c>
      <c r="JB789" s="1980" t="str">
        <f t="shared" si="231"/>
        <v/>
      </c>
      <c r="JC789" s="1980" t="str">
        <f t="shared" si="232"/>
        <v/>
      </c>
      <c r="JD789" s="1980" t="str">
        <f t="shared" si="233"/>
        <v/>
      </c>
      <c r="JE789" s="1980" t="str">
        <f t="shared" si="234"/>
        <v/>
      </c>
      <c r="JF789" s="1980" t="str">
        <f t="shared" si="235"/>
        <v/>
      </c>
      <c r="JG789" s="1980" t="str">
        <f t="shared" si="236"/>
        <v/>
      </c>
      <c r="JH789" s="1980" t="str">
        <f t="shared" si="237"/>
        <v/>
      </c>
      <c r="JI789" s="1980" t="str">
        <f t="shared" si="238"/>
        <v/>
      </c>
      <c r="JJ789" s="1980" t="str">
        <f t="shared" si="239"/>
        <v/>
      </c>
      <c r="JK789" s="1980" t="str">
        <f t="shared" si="240"/>
        <v/>
      </c>
      <c r="JL789" s="1980" t="str">
        <f t="shared" si="241"/>
        <v/>
      </c>
      <c r="JM789" s="1980" t="str">
        <f t="shared" si="242"/>
        <v/>
      </c>
      <c r="JN789" s="1980" t="str">
        <f t="shared" si="243"/>
        <v/>
      </c>
      <c r="JO789" s="1980" t="str">
        <f t="shared" si="244"/>
        <v/>
      </c>
      <c r="JP789" s="1980" t="str">
        <f t="shared" si="245"/>
        <v/>
      </c>
      <c r="JQ789" s="1980" t="str">
        <f t="shared" si="246"/>
        <v/>
      </c>
      <c r="JR789" s="1980" t="str">
        <f t="shared" si="247"/>
        <v/>
      </c>
      <c r="JS789" s="1980" t="str">
        <f t="shared" si="248"/>
        <v/>
      </c>
      <c r="JT789" s="1980" t="str">
        <f t="shared" si="249"/>
        <v/>
      </c>
      <c r="JU789" s="1980" t="str">
        <f t="shared" si="250"/>
        <v/>
      </c>
      <c r="JV789" s="1980" t="str">
        <f t="shared" si="251"/>
        <v/>
      </c>
      <c r="JW789" s="1980" t="str">
        <f t="shared" si="252"/>
        <v/>
      </c>
      <c r="JX789" s="1980" t="str">
        <f t="shared" si="253"/>
        <v/>
      </c>
      <c r="JY789" s="1980" t="str">
        <f t="shared" si="254"/>
        <v/>
      </c>
      <c r="JZ789" s="1980" t="str">
        <f t="shared" si="255"/>
        <v/>
      </c>
      <c r="KA789" s="1980" t="str">
        <f t="shared" si="256"/>
        <v/>
      </c>
      <c r="KB789" s="1980" t="str">
        <f t="shared" si="257"/>
        <v/>
      </c>
      <c r="KC789" s="1980" t="str">
        <f t="shared" si="258"/>
        <v/>
      </c>
      <c r="KD789" s="1980" t="str">
        <f t="shared" si="259"/>
        <v/>
      </c>
      <c r="KE789" s="1980" t="str">
        <f t="shared" si="260"/>
        <v/>
      </c>
      <c r="KF789" s="1980" t="str">
        <f t="shared" si="261"/>
        <v/>
      </c>
      <c r="KG789" s="1980" t="str">
        <f t="shared" si="262"/>
        <v/>
      </c>
      <c r="KH789" s="1980" t="str">
        <f t="shared" si="263"/>
        <v/>
      </c>
      <c r="KI789" s="1980" t="str">
        <f t="shared" si="264"/>
        <v/>
      </c>
      <c r="KJ789" s="1980" t="str">
        <f t="shared" si="265"/>
        <v/>
      </c>
      <c r="KK789" s="1980" t="str">
        <f t="shared" si="266"/>
        <v/>
      </c>
      <c r="KL789" s="1980" t="str">
        <f t="shared" si="267"/>
        <v/>
      </c>
      <c r="KM789" s="1980" t="str">
        <f t="shared" si="268"/>
        <v/>
      </c>
      <c r="KN789" s="1980" t="str">
        <f t="shared" si="269"/>
        <v/>
      </c>
      <c r="KO789" s="1980" t="str">
        <f t="shared" si="270"/>
        <v/>
      </c>
      <c r="KP789" s="1980" t="str">
        <f t="shared" si="271"/>
        <v/>
      </c>
      <c r="KQ789" s="1980" t="str">
        <f t="shared" si="272"/>
        <v/>
      </c>
      <c r="KR789" s="1980" t="str">
        <f t="shared" si="273"/>
        <v/>
      </c>
      <c r="KS789" s="1980" t="str">
        <f t="shared" si="274"/>
        <v/>
      </c>
      <c r="KT789" s="1980" t="str">
        <f t="shared" si="275"/>
        <v/>
      </c>
      <c r="KU789" s="1980" t="str">
        <f t="shared" si="276"/>
        <v/>
      </c>
      <c r="KV789" s="1980" t="str">
        <f t="shared" si="277"/>
        <v/>
      </c>
      <c r="KW789" s="1980" t="str">
        <f t="shared" si="278"/>
        <v/>
      </c>
      <c r="KX789" s="1980" t="str">
        <f t="shared" si="279"/>
        <v/>
      </c>
      <c r="KY789" s="1980" t="str">
        <f t="shared" si="280"/>
        <v/>
      </c>
      <c r="KZ789" s="1980" t="str">
        <f t="shared" si="281"/>
        <v/>
      </c>
      <c r="LA789" s="1980" t="str">
        <f t="shared" si="282"/>
        <v/>
      </c>
      <c r="LB789" s="1980" t="str">
        <f t="shared" si="283"/>
        <v/>
      </c>
      <c r="LC789" s="1980" t="str">
        <f t="shared" si="284"/>
        <v/>
      </c>
      <c r="LD789" s="1980" t="str">
        <f t="shared" si="285"/>
        <v/>
      </c>
      <c r="LE789" s="1980" t="str">
        <f t="shared" si="286"/>
        <v/>
      </c>
      <c r="LF789" s="1953" t="str">
        <f t="shared" si="287"/>
        <v/>
      </c>
      <c r="LG789" s="1953" t="str">
        <f t="shared" si="288"/>
        <v/>
      </c>
      <c r="LH789" s="1953" t="str">
        <f t="shared" si="289"/>
        <v/>
      </c>
      <c r="LI789" s="1953" t="str">
        <f t="shared" si="290"/>
        <v/>
      </c>
      <c r="LJ789" s="1953"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953">
        <f t="shared" si="323"/>
        <v>0</v>
      </c>
      <c r="MF789" s="1953">
        <f t="shared" si="324"/>
        <v>0</v>
      </c>
      <c r="MG789" s="1953">
        <f t="shared" si="325"/>
        <v>0</v>
      </c>
      <c r="MH789" s="1953">
        <f t="shared" si="326"/>
        <v>0</v>
      </c>
      <c r="MI789" s="1953">
        <f t="shared" si="327"/>
        <v>0</v>
      </c>
      <c r="MJ789" s="1953">
        <f t="shared" si="328"/>
        <v>0</v>
      </c>
      <c r="MK789" s="1953">
        <f t="shared" si="329"/>
        <v>0</v>
      </c>
      <c r="ML789" s="1953">
        <f t="shared" si="330"/>
        <v>0</v>
      </c>
      <c r="MM789" s="1953">
        <f t="shared" si="331"/>
        <v>0</v>
      </c>
      <c r="MN789" s="1953">
        <f t="shared" si="332"/>
        <v>0</v>
      </c>
      <c r="MO789" s="1953">
        <f t="shared" si="333"/>
        <v>0</v>
      </c>
      <c r="MP789" s="1953">
        <f t="shared" si="334"/>
        <v>0</v>
      </c>
      <c r="MQ789" s="1953">
        <f t="shared" si="335"/>
        <v>0</v>
      </c>
      <c r="MR789" s="1953">
        <f t="shared" si="336"/>
        <v>0</v>
      </c>
      <c r="MS789" s="1953">
        <f t="shared" si="337"/>
        <v>0</v>
      </c>
    </row>
    <row r="790" spans="1:357">
      <c r="A790" s="1955" t="str">
        <f t="shared" si="0"/>
        <v/>
      </c>
      <c r="B790" s="1971">
        <f>'Part VI-Revenues &amp; Expenses'!B28</f>
        <v>0</v>
      </c>
      <c r="C790" s="1972">
        <f>'Part VI-Revenues &amp; Expenses'!C28</f>
        <v>0</v>
      </c>
      <c r="D790" s="1973">
        <f>'Part VI-Revenues &amp; Expenses'!D28</f>
        <v>0</v>
      </c>
      <c r="E790" s="1974">
        <f>'Part VI-Revenues &amp; Expenses'!E28</f>
        <v>0</v>
      </c>
      <c r="F790" s="1974">
        <f>'Part VI-Revenues &amp; Expenses'!F28</f>
        <v>0</v>
      </c>
      <c r="G790" s="1974">
        <f>'Part VI-Revenues &amp; Expenses'!G28</f>
        <v>0</v>
      </c>
      <c r="H790" s="1974">
        <f>'Part VI-Revenues &amp; Expenses'!H28</f>
        <v>0</v>
      </c>
      <c r="I790" s="1974">
        <f>'Part VI-Revenues &amp; Expenses'!I28</f>
        <v>0</v>
      </c>
      <c r="J790" s="1975">
        <f>'Part VI-Revenues &amp; Expenses'!J28</f>
        <v>0</v>
      </c>
      <c r="K790" s="1976">
        <f t="shared" si="1"/>
        <v>0</v>
      </c>
      <c r="L790" s="1976">
        <f t="shared" si="2"/>
        <v>0</v>
      </c>
      <c r="M790" s="1834">
        <f>'Part VI-Revenues &amp; Expenses'!M28</f>
        <v>0</v>
      </c>
      <c r="N790" s="1834">
        <f>'Part VI-Revenues &amp; Expenses'!N28</f>
        <v>0</v>
      </c>
      <c r="O790" s="1834">
        <f>'Part VI-Revenues &amp; Expenses'!O28</f>
        <v>0</v>
      </c>
      <c r="P790" s="1958">
        <f>'Part VI-Revenues &amp; Expenses'!P28</f>
        <v>0</v>
      </c>
      <c r="Q790" s="1977" t="str">
        <f>'Part VI-Revenues &amp; Expenses'!Q28</f>
        <v/>
      </c>
      <c r="R790" s="1978" t="str">
        <f>'Part VI-Revenues &amp; Expenses'!R28</f>
        <v/>
      </c>
      <c r="S790" s="1977">
        <f>'Part VI-Revenues &amp; Expenses'!S28</f>
        <v>0</v>
      </c>
      <c r="T790" s="1978">
        <f>'Part VI-Revenues &amp; Expenses'!T28</f>
        <v>0</v>
      </c>
      <c r="U790" s="1979">
        <f>'Part VI-Revenues &amp; Expenses'!U28:V28</f>
        <v>0</v>
      </c>
      <c r="V790" s="1979"/>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980" t="str">
        <f t="shared" si="202"/>
        <v/>
      </c>
      <c r="HZ790" s="1980" t="str">
        <f t="shared" si="203"/>
        <v/>
      </c>
      <c r="IA790" s="1980" t="str">
        <f t="shared" si="204"/>
        <v/>
      </c>
      <c r="IB790" s="1980" t="str">
        <f t="shared" si="205"/>
        <v/>
      </c>
      <c r="IC790" s="1980" t="str">
        <f t="shared" si="206"/>
        <v/>
      </c>
      <c r="ID790" s="1980" t="str">
        <f t="shared" si="207"/>
        <v/>
      </c>
      <c r="IE790" s="1980" t="str">
        <f t="shared" si="208"/>
        <v/>
      </c>
      <c r="IF790" s="1980" t="str">
        <f t="shared" si="209"/>
        <v/>
      </c>
      <c r="IG790" s="1980" t="str">
        <f t="shared" si="210"/>
        <v/>
      </c>
      <c r="IH790" s="1980" t="str">
        <f t="shared" si="211"/>
        <v/>
      </c>
      <c r="II790" s="1980" t="str">
        <f t="shared" si="212"/>
        <v/>
      </c>
      <c r="IJ790" s="1980" t="str">
        <f t="shared" si="213"/>
        <v/>
      </c>
      <c r="IK790" s="1980" t="str">
        <f t="shared" si="214"/>
        <v/>
      </c>
      <c r="IL790" s="1980" t="str">
        <f t="shared" si="215"/>
        <v/>
      </c>
      <c r="IM790" s="1980" t="str">
        <f t="shared" si="216"/>
        <v/>
      </c>
      <c r="IN790" s="1980" t="str">
        <f t="shared" si="217"/>
        <v/>
      </c>
      <c r="IO790" s="1980" t="str">
        <f t="shared" si="218"/>
        <v/>
      </c>
      <c r="IP790" s="1980" t="str">
        <f t="shared" si="219"/>
        <v/>
      </c>
      <c r="IQ790" s="1980" t="str">
        <f t="shared" si="220"/>
        <v/>
      </c>
      <c r="IR790" s="1980" t="str">
        <f t="shared" si="221"/>
        <v/>
      </c>
      <c r="IS790" s="1980" t="str">
        <f t="shared" si="222"/>
        <v/>
      </c>
      <c r="IT790" s="1980" t="str">
        <f t="shared" si="223"/>
        <v/>
      </c>
      <c r="IU790" s="1980" t="str">
        <f t="shared" si="224"/>
        <v/>
      </c>
      <c r="IV790" s="1980" t="str">
        <f t="shared" si="225"/>
        <v/>
      </c>
      <c r="IW790" s="1980" t="str">
        <f t="shared" si="226"/>
        <v/>
      </c>
      <c r="IX790" s="1980" t="str">
        <f t="shared" si="227"/>
        <v/>
      </c>
      <c r="IY790" s="1980" t="str">
        <f t="shared" si="228"/>
        <v/>
      </c>
      <c r="IZ790" s="1980" t="str">
        <f t="shared" si="229"/>
        <v/>
      </c>
      <c r="JA790" s="1980" t="str">
        <f t="shared" si="230"/>
        <v/>
      </c>
      <c r="JB790" s="1980" t="str">
        <f t="shared" si="231"/>
        <v/>
      </c>
      <c r="JC790" s="1980" t="str">
        <f t="shared" si="232"/>
        <v/>
      </c>
      <c r="JD790" s="1980" t="str">
        <f t="shared" si="233"/>
        <v/>
      </c>
      <c r="JE790" s="1980" t="str">
        <f t="shared" si="234"/>
        <v/>
      </c>
      <c r="JF790" s="1980" t="str">
        <f t="shared" si="235"/>
        <v/>
      </c>
      <c r="JG790" s="1980" t="str">
        <f t="shared" si="236"/>
        <v/>
      </c>
      <c r="JH790" s="1980" t="str">
        <f t="shared" si="237"/>
        <v/>
      </c>
      <c r="JI790" s="1980" t="str">
        <f t="shared" si="238"/>
        <v/>
      </c>
      <c r="JJ790" s="1980" t="str">
        <f t="shared" si="239"/>
        <v/>
      </c>
      <c r="JK790" s="1980" t="str">
        <f t="shared" si="240"/>
        <v/>
      </c>
      <c r="JL790" s="1980" t="str">
        <f t="shared" si="241"/>
        <v/>
      </c>
      <c r="JM790" s="1980" t="str">
        <f t="shared" si="242"/>
        <v/>
      </c>
      <c r="JN790" s="1980" t="str">
        <f t="shared" si="243"/>
        <v/>
      </c>
      <c r="JO790" s="1980" t="str">
        <f t="shared" si="244"/>
        <v/>
      </c>
      <c r="JP790" s="1980" t="str">
        <f t="shared" si="245"/>
        <v/>
      </c>
      <c r="JQ790" s="1980" t="str">
        <f t="shared" si="246"/>
        <v/>
      </c>
      <c r="JR790" s="1980" t="str">
        <f t="shared" si="247"/>
        <v/>
      </c>
      <c r="JS790" s="1980" t="str">
        <f t="shared" si="248"/>
        <v/>
      </c>
      <c r="JT790" s="1980" t="str">
        <f t="shared" si="249"/>
        <v/>
      </c>
      <c r="JU790" s="1980" t="str">
        <f t="shared" si="250"/>
        <v/>
      </c>
      <c r="JV790" s="1980" t="str">
        <f t="shared" si="251"/>
        <v/>
      </c>
      <c r="JW790" s="1980" t="str">
        <f t="shared" si="252"/>
        <v/>
      </c>
      <c r="JX790" s="1980" t="str">
        <f t="shared" si="253"/>
        <v/>
      </c>
      <c r="JY790" s="1980" t="str">
        <f t="shared" si="254"/>
        <v/>
      </c>
      <c r="JZ790" s="1980" t="str">
        <f t="shared" si="255"/>
        <v/>
      </c>
      <c r="KA790" s="1980" t="str">
        <f t="shared" si="256"/>
        <v/>
      </c>
      <c r="KB790" s="1980" t="str">
        <f t="shared" si="257"/>
        <v/>
      </c>
      <c r="KC790" s="1980" t="str">
        <f t="shared" si="258"/>
        <v/>
      </c>
      <c r="KD790" s="1980" t="str">
        <f t="shared" si="259"/>
        <v/>
      </c>
      <c r="KE790" s="1980" t="str">
        <f t="shared" si="260"/>
        <v/>
      </c>
      <c r="KF790" s="1980" t="str">
        <f t="shared" si="261"/>
        <v/>
      </c>
      <c r="KG790" s="1980" t="str">
        <f t="shared" si="262"/>
        <v/>
      </c>
      <c r="KH790" s="1980" t="str">
        <f t="shared" si="263"/>
        <v/>
      </c>
      <c r="KI790" s="1980" t="str">
        <f t="shared" si="264"/>
        <v/>
      </c>
      <c r="KJ790" s="1980" t="str">
        <f t="shared" si="265"/>
        <v/>
      </c>
      <c r="KK790" s="1980" t="str">
        <f t="shared" si="266"/>
        <v/>
      </c>
      <c r="KL790" s="1980" t="str">
        <f t="shared" si="267"/>
        <v/>
      </c>
      <c r="KM790" s="1980" t="str">
        <f t="shared" si="268"/>
        <v/>
      </c>
      <c r="KN790" s="1980" t="str">
        <f t="shared" si="269"/>
        <v/>
      </c>
      <c r="KO790" s="1980" t="str">
        <f t="shared" si="270"/>
        <v/>
      </c>
      <c r="KP790" s="1980" t="str">
        <f t="shared" si="271"/>
        <v/>
      </c>
      <c r="KQ790" s="1980" t="str">
        <f t="shared" si="272"/>
        <v/>
      </c>
      <c r="KR790" s="1980" t="str">
        <f t="shared" si="273"/>
        <v/>
      </c>
      <c r="KS790" s="1980" t="str">
        <f t="shared" si="274"/>
        <v/>
      </c>
      <c r="KT790" s="1980" t="str">
        <f t="shared" si="275"/>
        <v/>
      </c>
      <c r="KU790" s="1980" t="str">
        <f t="shared" si="276"/>
        <v/>
      </c>
      <c r="KV790" s="1980" t="str">
        <f t="shared" si="277"/>
        <v/>
      </c>
      <c r="KW790" s="1980" t="str">
        <f t="shared" si="278"/>
        <v/>
      </c>
      <c r="KX790" s="1980" t="str">
        <f t="shared" si="279"/>
        <v/>
      </c>
      <c r="KY790" s="1980" t="str">
        <f t="shared" si="280"/>
        <v/>
      </c>
      <c r="KZ790" s="1980" t="str">
        <f t="shared" si="281"/>
        <v/>
      </c>
      <c r="LA790" s="1980" t="str">
        <f t="shared" si="282"/>
        <v/>
      </c>
      <c r="LB790" s="1980" t="str">
        <f t="shared" si="283"/>
        <v/>
      </c>
      <c r="LC790" s="1980" t="str">
        <f t="shared" si="284"/>
        <v/>
      </c>
      <c r="LD790" s="1980" t="str">
        <f t="shared" si="285"/>
        <v/>
      </c>
      <c r="LE790" s="1980" t="str">
        <f t="shared" si="286"/>
        <v/>
      </c>
      <c r="LF790" s="1953" t="str">
        <f t="shared" si="287"/>
        <v/>
      </c>
      <c r="LG790" s="1953" t="str">
        <f t="shared" si="288"/>
        <v/>
      </c>
      <c r="LH790" s="1953" t="str">
        <f t="shared" si="289"/>
        <v/>
      </c>
      <c r="LI790" s="1953" t="str">
        <f t="shared" si="290"/>
        <v/>
      </c>
      <c r="LJ790" s="1953"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953">
        <f t="shared" si="323"/>
        <v>0</v>
      </c>
      <c r="MF790" s="1953">
        <f t="shared" si="324"/>
        <v>0</v>
      </c>
      <c r="MG790" s="1953">
        <f t="shared" si="325"/>
        <v>0</v>
      </c>
      <c r="MH790" s="1953">
        <f t="shared" si="326"/>
        <v>0</v>
      </c>
      <c r="MI790" s="1953">
        <f t="shared" si="327"/>
        <v>0</v>
      </c>
      <c r="MJ790" s="1953">
        <f t="shared" si="328"/>
        <v>0</v>
      </c>
      <c r="MK790" s="1953">
        <f t="shared" si="329"/>
        <v>0</v>
      </c>
      <c r="ML790" s="1953">
        <f t="shared" si="330"/>
        <v>0</v>
      </c>
      <c r="MM790" s="1953">
        <f t="shared" si="331"/>
        <v>0</v>
      </c>
      <c r="MN790" s="1953">
        <f t="shared" si="332"/>
        <v>0</v>
      </c>
      <c r="MO790" s="1953">
        <f t="shared" si="333"/>
        <v>0</v>
      </c>
      <c r="MP790" s="1953">
        <f t="shared" si="334"/>
        <v>0</v>
      </c>
      <c r="MQ790" s="1953">
        <f t="shared" si="335"/>
        <v>0</v>
      </c>
      <c r="MR790" s="1953">
        <f t="shared" si="336"/>
        <v>0</v>
      </c>
      <c r="MS790" s="1953">
        <f t="shared" si="337"/>
        <v>0</v>
      </c>
    </row>
    <row r="791" spans="1:357">
      <c r="A791" s="1955" t="str">
        <f t="shared" si="0"/>
        <v/>
      </c>
      <c r="B791" s="1971">
        <f>'Part VI-Revenues &amp; Expenses'!B29</f>
        <v>0</v>
      </c>
      <c r="C791" s="1972">
        <f>'Part VI-Revenues &amp; Expenses'!C29</f>
        <v>0</v>
      </c>
      <c r="D791" s="1973">
        <f>'Part VI-Revenues &amp; Expenses'!D29</f>
        <v>0</v>
      </c>
      <c r="E791" s="1974">
        <f>'Part VI-Revenues &amp; Expenses'!E29</f>
        <v>0</v>
      </c>
      <c r="F791" s="1974">
        <f>'Part VI-Revenues &amp; Expenses'!F29</f>
        <v>0</v>
      </c>
      <c r="G791" s="1974">
        <f>'Part VI-Revenues &amp; Expenses'!G29</f>
        <v>0</v>
      </c>
      <c r="H791" s="1974">
        <f>'Part VI-Revenues &amp; Expenses'!H29</f>
        <v>0</v>
      </c>
      <c r="I791" s="1974">
        <f>'Part VI-Revenues &amp; Expenses'!I29</f>
        <v>0</v>
      </c>
      <c r="J791" s="1975">
        <f>'Part VI-Revenues &amp; Expenses'!J29</f>
        <v>0</v>
      </c>
      <c r="K791" s="1976">
        <f t="shared" si="1"/>
        <v>0</v>
      </c>
      <c r="L791" s="1976">
        <f t="shared" si="2"/>
        <v>0</v>
      </c>
      <c r="M791" s="1834">
        <f>'Part VI-Revenues &amp; Expenses'!M29</f>
        <v>0</v>
      </c>
      <c r="N791" s="1834">
        <f>'Part VI-Revenues &amp; Expenses'!N29</f>
        <v>0</v>
      </c>
      <c r="O791" s="1834">
        <f>'Part VI-Revenues &amp; Expenses'!O29</f>
        <v>0</v>
      </c>
      <c r="P791" s="1958">
        <f>'Part VI-Revenues &amp; Expenses'!P29</f>
        <v>0</v>
      </c>
      <c r="Q791" s="1977" t="str">
        <f>'Part VI-Revenues &amp; Expenses'!Q29</f>
        <v/>
      </c>
      <c r="R791" s="1978" t="str">
        <f>'Part VI-Revenues &amp; Expenses'!R29</f>
        <v/>
      </c>
      <c r="S791" s="1977">
        <f>'Part VI-Revenues &amp; Expenses'!S29</f>
        <v>0</v>
      </c>
      <c r="T791" s="1978">
        <f>'Part VI-Revenues &amp; Expenses'!T29</f>
        <v>0</v>
      </c>
      <c r="U791" s="1979">
        <f>'Part VI-Revenues &amp; Expenses'!U29:V29</f>
        <v>0</v>
      </c>
      <c r="V791" s="1979"/>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980" t="str">
        <f t="shared" si="202"/>
        <v/>
      </c>
      <c r="HZ791" s="1980" t="str">
        <f t="shared" si="203"/>
        <v/>
      </c>
      <c r="IA791" s="1980" t="str">
        <f t="shared" si="204"/>
        <v/>
      </c>
      <c r="IB791" s="1980" t="str">
        <f t="shared" si="205"/>
        <v/>
      </c>
      <c r="IC791" s="1980" t="str">
        <f t="shared" si="206"/>
        <v/>
      </c>
      <c r="ID791" s="1980" t="str">
        <f t="shared" si="207"/>
        <v/>
      </c>
      <c r="IE791" s="1980" t="str">
        <f t="shared" si="208"/>
        <v/>
      </c>
      <c r="IF791" s="1980" t="str">
        <f t="shared" si="209"/>
        <v/>
      </c>
      <c r="IG791" s="1980" t="str">
        <f t="shared" si="210"/>
        <v/>
      </c>
      <c r="IH791" s="1980" t="str">
        <f t="shared" si="211"/>
        <v/>
      </c>
      <c r="II791" s="1980" t="str">
        <f t="shared" si="212"/>
        <v/>
      </c>
      <c r="IJ791" s="1980" t="str">
        <f t="shared" si="213"/>
        <v/>
      </c>
      <c r="IK791" s="1980" t="str">
        <f t="shared" si="214"/>
        <v/>
      </c>
      <c r="IL791" s="1980" t="str">
        <f t="shared" si="215"/>
        <v/>
      </c>
      <c r="IM791" s="1980" t="str">
        <f t="shared" si="216"/>
        <v/>
      </c>
      <c r="IN791" s="1980" t="str">
        <f t="shared" si="217"/>
        <v/>
      </c>
      <c r="IO791" s="1980" t="str">
        <f t="shared" si="218"/>
        <v/>
      </c>
      <c r="IP791" s="1980" t="str">
        <f t="shared" si="219"/>
        <v/>
      </c>
      <c r="IQ791" s="1980" t="str">
        <f t="shared" si="220"/>
        <v/>
      </c>
      <c r="IR791" s="1980" t="str">
        <f t="shared" si="221"/>
        <v/>
      </c>
      <c r="IS791" s="1980" t="str">
        <f t="shared" si="222"/>
        <v/>
      </c>
      <c r="IT791" s="1980" t="str">
        <f t="shared" si="223"/>
        <v/>
      </c>
      <c r="IU791" s="1980" t="str">
        <f t="shared" si="224"/>
        <v/>
      </c>
      <c r="IV791" s="1980" t="str">
        <f t="shared" si="225"/>
        <v/>
      </c>
      <c r="IW791" s="1980" t="str">
        <f t="shared" si="226"/>
        <v/>
      </c>
      <c r="IX791" s="1980" t="str">
        <f t="shared" si="227"/>
        <v/>
      </c>
      <c r="IY791" s="1980" t="str">
        <f t="shared" si="228"/>
        <v/>
      </c>
      <c r="IZ791" s="1980" t="str">
        <f t="shared" si="229"/>
        <v/>
      </c>
      <c r="JA791" s="1980" t="str">
        <f t="shared" si="230"/>
        <v/>
      </c>
      <c r="JB791" s="1980" t="str">
        <f t="shared" si="231"/>
        <v/>
      </c>
      <c r="JC791" s="1980" t="str">
        <f t="shared" si="232"/>
        <v/>
      </c>
      <c r="JD791" s="1980" t="str">
        <f t="shared" si="233"/>
        <v/>
      </c>
      <c r="JE791" s="1980" t="str">
        <f t="shared" si="234"/>
        <v/>
      </c>
      <c r="JF791" s="1980" t="str">
        <f t="shared" si="235"/>
        <v/>
      </c>
      <c r="JG791" s="1980" t="str">
        <f t="shared" si="236"/>
        <v/>
      </c>
      <c r="JH791" s="1980" t="str">
        <f t="shared" si="237"/>
        <v/>
      </c>
      <c r="JI791" s="1980" t="str">
        <f t="shared" si="238"/>
        <v/>
      </c>
      <c r="JJ791" s="1980" t="str">
        <f t="shared" si="239"/>
        <v/>
      </c>
      <c r="JK791" s="1980" t="str">
        <f t="shared" si="240"/>
        <v/>
      </c>
      <c r="JL791" s="1980" t="str">
        <f t="shared" si="241"/>
        <v/>
      </c>
      <c r="JM791" s="1980" t="str">
        <f t="shared" si="242"/>
        <v/>
      </c>
      <c r="JN791" s="1980" t="str">
        <f t="shared" si="243"/>
        <v/>
      </c>
      <c r="JO791" s="1980" t="str">
        <f t="shared" si="244"/>
        <v/>
      </c>
      <c r="JP791" s="1980" t="str">
        <f t="shared" si="245"/>
        <v/>
      </c>
      <c r="JQ791" s="1980" t="str">
        <f t="shared" si="246"/>
        <v/>
      </c>
      <c r="JR791" s="1980" t="str">
        <f t="shared" si="247"/>
        <v/>
      </c>
      <c r="JS791" s="1980" t="str">
        <f t="shared" si="248"/>
        <v/>
      </c>
      <c r="JT791" s="1980" t="str">
        <f t="shared" si="249"/>
        <v/>
      </c>
      <c r="JU791" s="1980" t="str">
        <f t="shared" si="250"/>
        <v/>
      </c>
      <c r="JV791" s="1980" t="str">
        <f t="shared" si="251"/>
        <v/>
      </c>
      <c r="JW791" s="1980" t="str">
        <f t="shared" si="252"/>
        <v/>
      </c>
      <c r="JX791" s="1980" t="str">
        <f t="shared" si="253"/>
        <v/>
      </c>
      <c r="JY791" s="1980" t="str">
        <f t="shared" si="254"/>
        <v/>
      </c>
      <c r="JZ791" s="1980" t="str">
        <f t="shared" si="255"/>
        <v/>
      </c>
      <c r="KA791" s="1980" t="str">
        <f t="shared" si="256"/>
        <v/>
      </c>
      <c r="KB791" s="1980" t="str">
        <f t="shared" si="257"/>
        <v/>
      </c>
      <c r="KC791" s="1980" t="str">
        <f t="shared" si="258"/>
        <v/>
      </c>
      <c r="KD791" s="1980" t="str">
        <f t="shared" si="259"/>
        <v/>
      </c>
      <c r="KE791" s="1980" t="str">
        <f t="shared" si="260"/>
        <v/>
      </c>
      <c r="KF791" s="1980" t="str">
        <f t="shared" si="261"/>
        <v/>
      </c>
      <c r="KG791" s="1980" t="str">
        <f t="shared" si="262"/>
        <v/>
      </c>
      <c r="KH791" s="1980" t="str">
        <f t="shared" si="263"/>
        <v/>
      </c>
      <c r="KI791" s="1980" t="str">
        <f t="shared" si="264"/>
        <v/>
      </c>
      <c r="KJ791" s="1980" t="str">
        <f t="shared" si="265"/>
        <v/>
      </c>
      <c r="KK791" s="1980" t="str">
        <f t="shared" si="266"/>
        <v/>
      </c>
      <c r="KL791" s="1980" t="str">
        <f t="shared" si="267"/>
        <v/>
      </c>
      <c r="KM791" s="1980" t="str">
        <f t="shared" si="268"/>
        <v/>
      </c>
      <c r="KN791" s="1980" t="str">
        <f t="shared" si="269"/>
        <v/>
      </c>
      <c r="KO791" s="1980" t="str">
        <f t="shared" si="270"/>
        <v/>
      </c>
      <c r="KP791" s="1980" t="str">
        <f t="shared" si="271"/>
        <v/>
      </c>
      <c r="KQ791" s="1980" t="str">
        <f t="shared" si="272"/>
        <v/>
      </c>
      <c r="KR791" s="1980" t="str">
        <f t="shared" si="273"/>
        <v/>
      </c>
      <c r="KS791" s="1980" t="str">
        <f t="shared" si="274"/>
        <v/>
      </c>
      <c r="KT791" s="1980" t="str">
        <f t="shared" si="275"/>
        <v/>
      </c>
      <c r="KU791" s="1980" t="str">
        <f t="shared" si="276"/>
        <v/>
      </c>
      <c r="KV791" s="1980" t="str">
        <f t="shared" si="277"/>
        <v/>
      </c>
      <c r="KW791" s="1980" t="str">
        <f t="shared" si="278"/>
        <v/>
      </c>
      <c r="KX791" s="1980" t="str">
        <f t="shared" si="279"/>
        <v/>
      </c>
      <c r="KY791" s="1980" t="str">
        <f t="shared" si="280"/>
        <v/>
      </c>
      <c r="KZ791" s="1980" t="str">
        <f t="shared" si="281"/>
        <v/>
      </c>
      <c r="LA791" s="1980" t="str">
        <f t="shared" si="282"/>
        <v/>
      </c>
      <c r="LB791" s="1980" t="str">
        <f t="shared" si="283"/>
        <v/>
      </c>
      <c r="LC791" s="1980" t="str">
        <f t="shared" si="284"/>
        <v/>
      </c>
      <c r="LD791" s="1980" t="str">
        <f t="shared" si="285"/>
        <v/>
      </c>
      <c r="LE791" s="1980" t="str">
        <f t="shared" si="286"/>
        <v/>
      </c>
      <c r="LF791" s="1953" t="str">
        <f t="shared" si="287"/>
        <v/>
      </c>
      <c r="LG791" s="1953" t="str">
        <f t="shared" si="288"/>
        <v/>
      </c>
      <c r="LH791" s="1953" t="str">
        <f t="shared" si="289"/>
        <v/>
      </c>
      <c r="LI791" s="1953" t="str">
        <f t="shared" si="290"/>
        <v/>
      </c>
      <c r="LJ791" s="1953"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953">
        <f t="shared" si="323"/>
        <v>0</v>
      </c>
      <c r="MF791" s="1953">
        <f t="shared" si="324"/>
        <v>0</v>
      </c>
      <c r="MG791" s="1953">
        <f t="shared" si="325"/>
        <v>0</v>
      </c>
      <c r="MH791" s="1953">
        <f t="shared" si="326"/>
        <v>0</v>
      </c>
      <c r="MI791" s="1953">
        <f t="shared" si="327"/>
        <v>0</v>
      </c>
      <c r="MJ791" s="1953">
        <f t="shared" si="328"/>
        <v>0</v>
      </c>
      <c r="MK791" s="1953">
        <f t="shared" si="329"/>
        <v>0</v>
      </c>
      <c r="ML791" s="1953">
        <f t="shared" si="330"/>
        <v>0</v>
      </c>
      <c r="MM791" s="1953">
        <f t="shared" si="331"/>
        <v>0</v>
      </c>
      <c r="MN791" s="1953">
        <f t="shared" si="332"/>
        <v>0</v>
      </c>
      <c r="MO791" s="1953">
        <f t="shared" si="333"/>
        <v>0</v>
      </c>
      <c r="MP791" s="1953">
        <f t="shared" si="334"/>
        <v>0</v>
      </c>
      <c r="MQ791" s="1953">
        <f t="shared" si="335"/>
        <v>0</v>
      </c>
      <c r="MR791" s="1953">
        <f t="shared" si="336"/>
        <v>0</v>
      </c>
      <c r="MS791" s="1953">
        <f t="shared" si="337"/>
        <v>0</v>
      </c>
    </row>
    <row r="792" spans="1:357">
      <c r="A792" s="1955" t="str">
        <f t="shared" si="0"/>
        <v/>
      </c>
      <c r="B792" s="1971">
        <f>'Part VI-Revenues &amp; Expenses'!B30</f>
        <v>0</v>
      </c>
      <c r="C792" s="1972">
        <f>'Part VI-Revenues &amp; Expenses'!C30</f>
        <v>0</v>
      </c>
      <c r="D792" s="1973">
        <f>'Part VI-Revenues &amp; Expenses'!D30</f>
        <v>0</v>
      </c>
      <c r="E792" s="1974">
        <f>'Part VI-Revenues &amp; Expenses'!E30</f>
        <v>0</v>
      </c>
      <c r="F792" s="1974">
        <f>'Part VI-Revenues &amp; Expenses'!F30</f>
        <v>0</v>
      </c>
      <c r="G792" s="1974">
        <f>'Part VI-Revenues &amp; Expenses'!G30</f>
        <v>0</v>
      </c>
      <c r="H792" s="1974">
        <f>'Part VI-Revenues &amp; Expenses'!H30</f>
        <v>0</v>
      </c>
      <c r="I792" s="1974">
        <f>'Part VI-Revenues &amp; Expenses'!I30</f>
        <v>0</v>
      </c>
      <c r="J792" s="1975">
        <f>'Part VI-Revenues &amp; Expenses'!J30</f>
        <v>0</v>
      </c>
      <c r="K792" s="1976">
        <f t="shared" si="1"/>
        <v>0</v>
      </c>
      <c r="L792" s="1976">
        <f t="shared" si="2"/>
        <v>0</v>
      </c>
      <c r="M792" s="1834">
        <f>'Part VI-Revenues &amp; Expenses'!M30</f>
        <v>0</v>
      </c>
      <c r="N792" s="1834">
        <f>'Part VI-Revenues &amp; Expenses'!N30</f>
        <v>0</v>
      </c>
      <c r="O792" s="1834">
        <f>'Part VI-Revenues &amp; Expenses'!O30</f>
        <v>0</v>
      </c>
      <c r="P792" s="1958">
        <f>'Part VI-Revenues &amp; Expenses'!P30</f>
        <v>0</v>
      </c>
      <c r="Q792" s="1977" t="str">
        <f>'Part VI-Revenues &amp; Expenses'!Q30</f>
        <v/>
      </c>
      <c r="R792" s="1978" t="str">
        <f>'Part VI-Revenues &amp; Expenses'!R30</f>
        <v/>
      </c>
      <c r="S792" s="1977">
        <f>'Part VI-Revenues &amp; Expenses'!S30</f>
        <v>0</v>
      </c>
      <c r="T792" s="1978">
        <f>'Part VI-Revenues &amp; Expenses'!T30</f>
        <v>0</v>
      </c>
      <c r="U792" s="1979">
        <f>'Part VI-Revenues &amp; Expenses'!U30:V30</f>
        <v>0</v>
      </c>
      <c r="V792" s="1979"/>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980" t="str">
        <f t="shared" si="202"/>
        <v/>
      </c>
      <c r="HZ792" s="1980" t="str">
        <f t="shared" si="203"/>
        <v/>
      </c>
      <c r="IA792" s="1980" t="str">
        <f t="shared" si="204"/>
        <v/>
      </c>
      <c r="IB792" s="1980" t="str">
        <f t="shared" si="205"/>
        <v/>
      </c>
      <c r="IC792" s="1980" t="str">
        <f t="shared" si="206"/>
        <v/>
      </c>
      <c r="ID792" s="1980" t="str">
        <f t="shared" si="207"/>
        <v/>
      </c>
      <c r="IE792" s="1980" t="str">
        <f t="shared" si="208"/>
        <v/>
      </c>
      <c r="IF792" s="1980" t="str">
        <f t="shared" si="209"/>
        <v/>
      </c>
      <c r="IG792" s="1980" t="str">
        <f t="shared" si="210"/>
        <v/>
      </c>
      <c r="IH792" s="1980" t="str">
        <f t="shared" si="211"/>
        <v/>
      </c>
      <c r="II792" s="1980" t="str">
        <f t="shared" si="212"/>
        <v/>
      </c>
      <c r="IJ792" s="1980" t="str">
        <f t="shared" si="213"/>
        <v/>
      </c>
      <c r="IK792" s="1980" t="str">
        <f t="shared" si="214"/>
        <v/>
      </c>
      <c r="IL792" s="1980" t="str">
        <f t="shared" si="215"/>
        <v/>
      </c>
      <c r="IM792" s="1980" t="str">
        <f t="shared" si="216"/>
        <v/>
      </c>
      <c r="IN792" s="1980" t="str">
        <f t="shared" si="217"/>
        <v/>
      </c>
      <c r="IO792" s="1980" t="str">
        <f t="shared" si="218"/>
        <v/>
      </c>
      <c r="IP792" s="1980" t="str">
        <f t="shared" si="219"/>
        <v/>
      </c>
      <c r="IQ792" s="1980" t="str">
        <f t="shared" si="220"/>
        <v/>
      </c>
      <c r="IR792" s="1980" t="str">
        <f t="shared" si="221"/>
        <v/>
      </c>
      <c r="IS792" s="1980" t="str">
        <f t="shared" si="222"/>
        <v/>
      </c>
      <c r="IT792" s="1980" t="str">
        <f t="shared" si="223"/>
        <v/>
      </c>
      <c r="IU792" s="1980" t="str">
        <f t="shared" si="224"/>
        <v/>
      </c>
      <c r="IV792" s="1980" t="str">
        <f t="shared" si="225"/>
        <v/>
      </c>
      <c r="IW792" s="1980" t="str">
        <f t="shared" si="226"/>
        <v/>
      </c>
      <c r="IX792" s="1980" t="str">
        <f t="shared" si="227"/>
        <v/>
      </c>
      <c r="IY792" s="1980" t="str">
        <f t="shared" si="228"/>
        <v/>
      </c>
      <c r="IZ792" s="1980" t="str">
        <f t="shared" si="229"/>
        <v/>
      </c>
      <c r="JA792" s="1980" t="str">
        <f t="shared" si="230"/>
        <v/>
      </c>
      <c r="JB792" s="1980" t="str">
        <f t="shared" si="231"/>
        <v/>
      </c>
      <c r="JC792" s="1980" t="str">
        <f t="shared" si="232"/>
        <v/>
      </c>
      <c r="JD792" s="1980" t="str">
        <f t="shared" si="233"/>
        <v/>
      </c>
      <c r="JE792" s="1980" t="str">
        <f t="shared" si="234"/>
        <v/>
      </c>
      <c r="JF792" s="1980" t="str">
        <f t="shared" si="235"/>
        <v/>
      </c>
      <c r="JG792" s="1980" t="str">
        <f t="shared" si="236"/>
        <v/>
      </c>
      <c r="JH792" s="1980" t="str">
        <f t="shared" si="237"/>
        <v/>
      </c>
      <c r="JI792" s="1980" t="str">
        <f t="shared" si="238"/>
        <v/>
      </c>
      <c r="JJ792" s="1980" t="str">
        <f t="shared" si="239"/>
        <v/>
      </c>
      <c r="JK792" s="1980" t="str">
        <f t="shared" si="240"/>
        <v/>
      </c>
      <c r="JL792" s="1980" t="str">
        <f t="shared" si="241"/>
        <v/>
      </c>
      <c r="JM792" s="1980" t="str">
        <f t="shared" si="242"/>
        <v/>
      </c>
      <c r="JN792" s="1980" t="str">
        <f t="shared" si="243"/>
        <v/>
      </c>
      <c r="JO792" s="1980" t="str">
        <f t="shared" si="244"/>
        <v/>
      </c>
      <c r="JP792" s="1980" t="str">
        <f t="shared" si="245"/>
        <v/>
      </c>
      <c r="JQ792" s="1980" t="str">
        <f t="shared" si="246"/>
        <v/>
      </c>
      <c r="JR792" s="1980" t="str">
        <f t="shared" si="247"/>
        <v/>
      </c>
      <c r="JS792" s="1980" t="str">
        <f t="shared" si="248"/>
        <v/>
      </c>
      <c r="JT792" s="1980" t="str">
        <f t="shared" si="249"/>
        <v/>
      </c>
      <c r="JU792" s="1980" t="str">
        <f t="shared" si="250"/>
        <v/>
      </c>
      <c r="JV792" s="1980" t="str">
        <f t="shared" si="251"/>
        <v/>
      </c>
      <c r="JW792" s="1980" t="str">
        <f t="shared" si="252"/>
        <v/>
      </c>
      <c r="JX792" s="1980" t="str">
        <f t="shared" si="253"/>
        <v/>
      </c>
      <c r="JY792" s="1980" t="str">
        <f t="shared" si="254"/>
        <v/>
      </c>
      <c r="JZ792" s="1980" t="str">
        <f t="shared" si="255"/>
        <v/>
      </c>
      <c r="KA792" s="1980" t="str">
        <f t="shared" si="256"/>
        <v/>
      </c>
      <c r="KB792" s="1980" t="str">
        <f t="shared" si="257"/>
        <v/>
      </c>
      <c r="KC792" s="1980" t="str">
        <f t="shared" si="258"/>
        <v/>
      </c>
      <c r="KD792" s="1980" t="str">
        <f t="shared" si="259"/>
        <v/>
      </c>
      <c r="KE792" s="1980" t="str">
        <f t="shared" si="260"/>
        <v/>
      </c>
      <c r="KF792" s="1980" t="str">
        <f t="shared" si="261"/>
        <v/>
      </c>
      <c r="KG792" s="1980" t="str">
        <f t="shared" si="262"/>
        <v/>
      </c>
      <c r="KH792" s="1980" t="str">
        <f t="shared" si="263"/>
        <v/>
      </c>
      <c r="KI792" s="1980" t="str">
        <f t="shared" si="264"/>
        <v/>
      </c>
      <c r="KJ792" s="1980" t="str">
        <f t="shared" si="265"/>
        <v/>
      </c>
      <c r="KK792" s="1980" t="str">
        <f t="shared" si="266"/>
        <v/>
      </c>
      <c r="KL792" s="1980" t="str">
        <f t="shared" si="267"/>
        <v/>
      </c>
      <c r="KM792" s="1980" t="str">
        <f t="shared" si="268"/>
        <v/>
      </c>
      <c r="KN792" s="1980" t="str">
        <f t="shared" si="269"/>
        <v/>
      </c>
      <c r="KO792" s="1980" t="str">
        <f t="shared" si="270"/>
        <v/>
      </c>
      <c r="KP792" s="1980" t="str">
        <f t="shared" si="271"/>
        <v/>
      </c>
      <c r="KQ792" s="1980" t="str">
        <f t="shared" si="272"/>
        <v/>
      </c>
      <c r="KR792" s="1980" t="str">
        <f t="shared" si="273"/>
        <v/>
      </c>
      <c r="KS792" s="1980" t="str">
        <f t="shared" si="274"/>
        <v/>
      </c>
      <c r="KT792" s="1980" t="str">
        <f t="shared" si="275"/>
        <v/>
      </c>
      <c r="KU792" s="1980" t="str">
        <f t="shared" si="276"/>
        <v/>
      </c>
      <c r="KV792" s="1980" t="str">
        <f t="shared" si="277"/>
        <v/>
      </c>
      <c r="KW792" s="1980" t="str">
        <f t="shared" si="278"/>
        <v/>
      </c>
      <c r="KX792" s="1980" t="str">
        <f t="shared" si="279"/>
        <v/>
      </c>
      <c r="KY792" s="1980" t="str">
        <f t="shared" si="280"/>
        <v/>
      </c>
      <c r="KZ792" s="1980" t="str">
        <f t="shared" si="281"/>
        <v/>
      </c>
      <c r="LA792" s="1980" t="str">
        <f t="shared" si="282"/>
        <v/>
      </c>
      <c r="LB792" s="1980" t="str">
        <f t="shared" si="283"/>
        <v/>
      </c>
      <c r="LC792" s="1980" t="str">
        <f t="shared" si="284"/>
        <v/>
      </c>
      <c r="LD792" s="1980" t="str">
        <f t="shared" si="285"/>
        <v/>
      </c>
      <c r="LE792" s="1980" t="str">
        <f t="shared" si="286"/>
        <v/>
      </c>
      <c r="LF792" s="1953" t="str">
        <f t="shared" si="287"/>
        <v/>
      </c>
      <c r="LG792" s="1953" t="str">
        <f t="shared" si="288"/>
        <v/>
      </c>
      <c r="LH792" s="1953" t="str">
        <f t="shared" si="289"/>
        <v/>
      </c>
      <c r="LI792" s="1953" t="str">
        <f t="shared" si="290"/>
        <v/>
      </c>
      <c r="LJ792" s="1953"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953">
        <f t="shared" si="323"/>
        <v>0</v>
      </c>
      <c r="MF792" s="1953">
        <f t="shared" si="324"/>
        <v>0</v>
      </c>
      <c r="MG792" s="1953">
        <f t="shared" si="325"/>
        <v>0</v>
      </c>
      <c r="MH792" s="1953">
        <f t="shared" si="326"/>
        <v>0</v>
      </c>
      <c r="MI792" s="1953">
        <f t="shared" si="327"/>
        <v>0</v>
      </c>
      <c r="MJ792" s="1953">
        <f t="shared" si="328"/>
        <v>0</v>
      </c>
      <c r="MK792" s="1953">
        <f t="shared" si="329"/>
        <v>0</v>
      </c>
      <c r="ML792" s="1953">
        <f t="shared" si="330"/>
        <v>0</v>
      </c>
      <c r="MM792" s="1953">
        <f t="shared" si="331"/>
        <v>0</v>
      </c>
      <c r="MN792" s="1953">
        <f t="shared" si="332"/>
        <v>0</v>
      </c>
      <c r="MO792" s="1953">
        <f t="shared" si="333"/>
        <v>0</v>
      </c>
      <c r="MP792" s="1953">
        <f t="shared" si="334"/>
        <v>0</v>
      </c>
      <c r="MQ792" s="1953">
        <f t="shared" si="335"/>
        <v>0</v>
      </c>
      <c r="MR792" s="1953">
        <f t="shared" si="336"/>
        <v>0</v>
      </c>
      <c r="MS792" s="1953">
        <f t="shared" si="337"/>
        <v>0</v>
      </c>
    </row>
    <row r="793" spans="1:357">
      <c r="A793" s="1955" t="str">
        <f t="shared" si="0"/>
        <v/>
      </c>
      <c r="B793" s="1971">
        <f>'Part VI-Revenues &amp; Expenses'!B31</f>
        <v>0</v>
      </c>
      <c r="C793" s="1972">
        <f>'Part VI-Revenues &amp; Expenses'!C31</f>
        <v>0</v>
      </c>
      <c r="D793" s="1973">
        <f>'Part VI-Revenues &amp; Expenses'!D31</f>
        <v>0</v>
      </c>
      <c r="E793" s="1974">
        <f>'Part VI-Revenues &amp; Expenses'!E31</f>
        <v>0</v>
      </c>
      <c r="F793" s="1974">
        <f>'Part VI-Revenues &amp; Expenses'!F31</f>
        <v>0</v>
      </c>
      <c r="G793" s="1974">
        <f>'Part VI-Revenues &amp; Expenses'!G31</f>
        <v>0</v>
      </c>
      <c r="H793" s="1974">
        <f>'Part VI-Revenues &amp; Expenses'!H31</f>
        <v>0</v>
      </c>
      <c r="I793" s="1974">
        <f>'Part VI-Revenues &amp; Expenses'!I31</f>
        <v>0</v>
      </c>
      <c r="J793" s="1975">
        <f>'Part VI-Revenues &amp; Expenses'!J31</f>
        <v>0</v>
      </c>
      <c r="K793" s="1976">
        <f t="shared" si="1"/>
        <v>0</v>
      </c>
      <c r="L793" s="1976">
        <f t="shared" si="2"/>
        <v>0</v>
      </c>
      <c r="M793" s="1834">
        <f>'Part VI-Revenues &amp; Expenses'!M31</f>
        <v>0</v>
      </c>
      <c r="N793" s="1834">
        <f>'Part VI-Revenues &amp; Expenses'!N31</f>
        <v>0</v>
      </c>
      <c r="O793" s="1834">
        <f>'Part VI-Revenues &amp; Expenses'!O31</f>
        <v>0</v>
      </c>
      <c r="P793" s="1958">
        <f>'Part VI-Revenues &amp; Expenses'!P31</f>
        <v>0</v>
      </c>
      <c r="Q793" s="1977" t="str">
        <f>'Part VI-Revenues &amp; Expenses'!Q31</f>
        <v/>
      </c>
      <c r="R793" s="1978" t="str">
        <f>'Part VI-Revenues &amp; Expenses'!R31</f>
        <v/>
      </c>
      <c r="S793" s="1977">
        <f>'Part VI-Revenues &amp; Expenses'!S31</f>
        <v>0</v>
      </c>
      <c r="T793" s="1978">
        <f>'Part VI-Revenues &amp; Expenses'!T31</f>
        <v>0</v>
      </c>
      <c r="U793" s="1979">
        <f>'Part VI-Revenues &amp; Expenses'!U31:V31</f>
        <v>0</v>
      </c>
      <c r="V793" s="1979"/>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980" t="str">
        <f t="shared" si="202"/>
        <v/>
      </c>
      <c r="HZ793" s="1980" t="str">
        <f t="shared" si="203"/>
        <v/>
      </c>
      <c r="IA793" s="1980" t="str">
        <f t="shared" si="204"/>
        <v/>
      </c>
      <c r="IB793" s="1980" t="str">
        <f t="shared" si="205"/>
        <v/>
      </c>
      <c r="IC793" s="1980" t="str">
        <f t="shared" si="206"/>
        <v/>
      </c>
      <c r="ID793" s="1980" t="str">
        <f t="shared" si="207"/>
        <v/>
      </c>
      <c r="IE793" s="1980" t="str">
        <f t="shared" si="208"/>
        <v/>
      </c>
      <c r="IF793" s="1980" t="str">
        <f t="shared" si="209"/>
        <v/>
      </c>
      <c r="IG793" s="1980" t="str">
        <f t="shared" si="210"/>
        <v/>
      </c>
      <c r="IH793" s="1980" t="str">
        <f t="shared" si="211"/>
        <v/>
      </c>
      <c r="II793" s="1980" t="str">
        <f t="shared" si="212"/>
        <v/>
      </c>
      <c r="IJ793" s="1980" t="str">
        <f t="shared" si="213"/>
        <v/>
      </c>
      <c r="IK793" s="1980" t="str">
        <f t="shared" si="214"/>
        <v/>
      </c>
      <c r="IL793" s="1980" t="str">
        <f t="shared" si="215"/>
        <v/>
      </c>
      <c r="IM793" s="1980" t="str">
        <f t="shared" si="216"/>
        <v/>
      </c>
      <c r="IN793" s="1980" t="str">
        <f t="shared" si="217"/>
        <v/>
      </c>
      <c r="IO793" s="1980" t="str">
        <f t="shared" si="218"/>
        <v/>
      </c>
      <c r="IP793" s="1980" t="str">
        <f t="shared" si="219"/>
        <v/>
      </c>
      <c r="IQ793" s="1980" t="str">
        <f t="shared" si="220"/>
        <v/>
      </c>
      <c r="IR793" s="1980" t="str">
        <f t="shared" si="221"/>
        <v/>
      </c>
      <c r="IS793" s="1980" t="str">
        <f t="shared" si="222"/>
        <v/>
      </c>
      <c r="IT793" s="1980" t="str">
        <f t="shared" si="223"/>
        <v/>
      </c>
      <c r="IU793" s="1980" t="str">
        <f t="shared" si="224"/>
        <v/>
      </c>
      <c r="IV793" s="1980" t="str">
        <f t="shared" si="225"/>
        <v/>
      </c>
      <c r="IW793" s="1980" t="str">
        <f t="shared" si="226"/>
        <v/>
      </c>
      <c r="IX793" s="1980" t="str">
        <f t="shared" si="227"/>
        <v/>
      </c>
      <c r="IY793" s="1980" t="str">
        <f t="shared" si="228"/>
        <v/>
      </c>
      <c r="IZ793" s="1980" t="str">
        <f t="shared" si="229"/>
        <v/>
      </c>
      <c r="JA793" s="1980" t="str">
        <f t="shared" si="230"/>
        <v/>
      </c>
      <c r="JB793" s="1980" t="str">
        <f t="shared" si="231"/>
        <v/>
      </c>
      <c r="JC793" s="1980" t="str">
        <f t="shared" si="232"/>
        <v/>
      </c>
      <c r="JD793" s="1980" t="str">
        <f t="shared" si="233"/>
        <v/>
      </c>
      <c r="JE793" s="1980" t="str">
        <f t="shared" si="234"/>
        <v/>
      </c>
      <c r="JF793" s="1980" t="str">
        <f t="shared" si="235"/>
        <v/>
      </c>
      <c r="JG793" s="1980" t="str">
        <f t="shared" si="236"/>
        <v/>
      </c>
      <c r="JH793" s="1980" t="str">
        <f t="shared" si="237"/>
        <v/>
      </c>
      <c r="JI793" s="1980" t="str">
        <f t="shared" si="238"/>
        <v/>
      </c>
      <c r="JJ793" s="1980" t="str">
        <f t="shared" si="239"/>
        <v/>
      </c>
      <c r="JK793" s="1980" t="str">
        <f t="shared" si="240"/>
        <v/>
      </c>
      <c r="JL793" s="1980" t="str">
        <f t="shared" si="241"/>
        <v/>
      </c>
      <c r="JM793" s="1980" t="str">
        <f t="shared" si="242"/>
        <v/>
      </c>
      <c r="JN793" s="1980" t="str">
        <f t="shared" si="243"/>
        <v/>
      </c>
      <c r="JO793" s="1980" t="str">
        <f t="shared" si="244"/>
        <v/>
      </c>
      <c r="JP793" s="1980" t="str">
        <f t="shared" si="245"/>
        <v/>
      </c>
      <c r="JQ793" s="1980" t="str">
        <f t="shared" si="246"/>
        <v/>
      </c>
      <c r="JR793" s="1980" t="str">
        <f t="shared" si="247"/>
        <v/>
      </c>
      <c r="JS793" s="1980" t="str">
        <f t="shared" si="248"/>
        <v/>
      </c>
      <c r="JT793" s="1980" t="str">
        <f t="shared" si="249"/>
        <v/>
      </c>
      <c r="JU793" s="1980" t="str">
        <f t="shared" si="250"/>
        <v/>
      </c>
      <c r="JV793" s="1980" t="str">
        <f t="shared" si="251"/>
        <v/>
      </c>
      <c r="JW793" s="1980" t="str">
        <f t="shared" si="252"/>
        <v/>
      </c>
      <c r="JX793" s="1980" t="str">
        <f t="shared" si="253"/>
        <v/>
      </c>
      <c r="JY793" s="1980" t="str">
        <f t="shared" si="254"/>
        <v/>
      </c>
      <c r="JZ793" s="1980" t="str">
        <f t="shared" si="255"/>
        <v/>
      </c>
      <c r="KA793" s="1980" t="str">
        <f t="shared" si="256"/>
        <v/>
      </c>
      <c r="KB793" s="1980" t="str">
        <f t="shared" si="257"/>
        <v/>
      </c>
      <c r="KC793" s="1980" t="str">
        <f t="shared" si="258"/>
        <v/>
      </c>
      <c r="KD793" s="1980" t="str">
        <f t="shared" si="259"/>
        <v/>
      </c>
      <c r="KE793" s="1980" t="str">
        <f t="shared" si="260"/>
        <v/>
      </c>
      <c r="KF793" s="1980" t="str">
        <f t="shared" si="261"/>
        <v/>
      </c>
      <c r="KG793" s="1980" t="str">
        <f t="shared" si="262"/>
        <v/>
      </c>
      <c r="KH793" s="1980" t="str">
        <f t="shared" si="263"/>
        <v/>
      </c>
      <c r="KI793" s="1980" t="str">
        <f t="shared" si="264"/>
        <v/>
      </c>
      <c r="KJ793" s="1980" t="str">
        <f t="shared" si="265"/>
        <v/>
      </c>
      <c r="KK793" s="1980" t="str">
        <f t="shared" si="266"/>
        <v/>
      </c>
      <c r="KL793" s="1980" t="str">
        <f t="shared" si="267"/>
        <v/>
      </c>
      <c r="KM793" s="1980" t="str">
        <f t="shared" si="268"/>
        <v/>
      </c>
      <c r="KN793" s="1980" t="str">
        <f t="shared" si="269"/>
        <v/>
      </c>
      <c r="KO793" s="1980" t="str">
        <f t="shared" si="270"/>
        <v/>
      </c>
      <c r="KP793" s="1980" t="str">
        <f t="shared" si="271"/>
        <v/>
      </c>
      <c r="KQ793" s="1980" t="str">
        <f t="shared" si="272"/>
        <v/>
      </c>
      <c r="KR793" s="1980" t="str">
        <f t="shared" si="273"/>
        <v/>
      </c>
      <c r="KS793" s="1980" t="str">
        <f t="shared" si="274"/>
        <v/>
      </c>
      <c r="KT793" s="1980" t="str">
        <f t="shared" si="275"/>
        <v/>
      </c>
      <c r="KU793" s="1980" t="str">
        <f t="shared" si="276"/>
        <v/>
      </c>
      <c r="KV793" s="1980" t="str">
        <f t="shared" si="277"/>
        <v/>
      </c>
      <c r="KW793" s="1980" t="str">
        <f t="shared" si="278"/>
        <v/>
      </c>
      <c r="KX793" s="1980" t="str">
        <f t="shared" si="279"/>
        <v/>
      </c>
      <c r="KY793" s="1980" t="str">
        <f t="shared" si="280"/>
        <v/>
      </c>
      <c r="KZ793" s="1980" t="str">
        <f t="shared" si="281"/>
        <v/>
      </c>
      <c r="LA793" s="1980" t="str">
        <f t="shared" si="282"/>
        <v/>
      </c>
      <c r="LB793" s="1980" t="str">
        <f t="shared" si="283"/>
        <v/>
      </c>
      <c r="LC793" s="1980" t="str">
        <f t="shared" si="284"/>
        <v/>
      </c>
      <c r="LD793" s="1980" t="str">
        <f t="shared" si="285"/>
        <v/>
      </c>
      <c r="LE793" s="1980" t="str">
        <f t="shared" si="286"/>
        <v/>
      </c>
      <c r="LF793" s="1953" t="str">
        <f t="shared" si="287"/>
        <v/>
      </c>
      <c r="LG793" s="1953" t="str">
        <f t="shared" si="288"/>
        <v/>
      </c>
      <c r="LH793" s="1953" t="str">
        <f t="shared" si="289"/>
        <v/>
      </c>
      <c r="LI793" s="1953" t="str">
        <f t="shared" si="290"/>
        <v/>
      </c>
      <c r="LJ793" s="1953"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953">
        <f t="shared" si="323"/>
        <v>0</v>
      </c>
      <c r="MF793" s="1953">
        <f t="shared" si="324"/>
        <v>0</v>
      </c>
      <c r="MG793" s="1953">
        <f t="shared" si="325"/>
        <v>0</v>
      </c>
      <c r="MH793" s="1953">
        <f t="shared" si="326"/>
        <v>0</v>
      </c>
      <c r="MI793" s="1953">
        <f t="shared" si="327"/>
        <v>0</v>
      </c>
      <c r="MJ793" s="1953">
        <f t="shared" si="328"/>
        <v>0</v>
      </c>
      <c r="MK793" s="1953">
        <f t="shared" si="329"/>
        <v>0</v>
      </c>
      <c r="ML793" s="1953">
        <f t="shared" si="330"/>
        <v>0</v>
      </c>
      <c r="MM793" s="1953">
        <f t="shared" si="331"/>
        <v>0</v>
      </c>
      <c r="MN793" s="1953">
        <f t="shared" si="332"/>
        <v>0</v>
      </c>
      <c r="MO793" s="1953">
        <f t="shared" si="333"/>
        <v>0</v>
      </c>
      <c r="MP793" s="1953">
        <f t="shared" si="334"/>
        <v>0</v>
      </c>
      <c r="MQ793" s="1953">
        <f t="shared" si="335"/>
        <v>0</v>
      </c>
      <c r="MR793" s="1953">
        <f t="shared" si="336"/>
        <v>0</v>
      </c>
      <c r="MS793" s="1953">
        <f t="shared" si="337"/>
        <v>0</v>
      </c>
    </row>
    <row r="794" spans="1:357">
      <c r="A794" s="1955" t="str">
        <f t="shared" si="0"/>
        <v/>
      </c>
      <c r="B794" s="1971">
        <f>'Part VI-Revenues &amp; Expenses'!B32</f>
        <v>0</v>
      </c>
      <c r="C794" s="1972">
        <f>'Part VI-Revenues &amp; Expenses'!C32</f>
        <v>0</v>
      </c>
      <c r="D794" s="1973">
        <f>'Part VI-Revenues &amp; Expenses'!D32</f>
        <v>0</v>
      </c>
      <c r="E794" s="1974">
        <f>'Part VI-Revenues &amp; Expenses'!E32</f>
        <v>0</v>
      </c>
      <c r="F794" s="1974">
        <f>'Part VI-Revenues &amp; Expenses'!F32</f>
        <v>0</v>
      </c>
      <c r="G794" s="1974">
        <f>'Part VI-Revenues &amp; Expenses'!G32</f>
        <v>0</v>
      </c>
      <c r="H794" s="1974">
        <f>'Part VI-Revenues &amp; Expenses'!H32</f>
        <v>0</v>
      </c>
      <c r="I794" s="1974">
        <f>'Part VI-Revenues &amp; Expenses'!I32</f>
        <v>0</v>
      </c>
      <c r="J794" s="1975">
        <f>'Part VI-Revenues &amp; Expenses'!J32</f>
        <v>0</v>
      </c>
      <c r="K794" s="1976">
        <f t="shared" si="1"/>
        <v>0</v>
      </c>
      <c r="L794" s="1976">
        <f t="shared" si="2"/>
        <v>0</v>
      </c>
      <c r="M794" s="1834">
        <f>'Part VI-Revenues &amp; Expenses'!M32</f>
        <v>0</v>
      </c>
      <c r="N794" s="1834">
        <f>'Part VI-Revenues &amp; Expenses'!N32</f>
        <v>0</v>
      </c>
      <c r="O794" s="1834">
        <f>'Part VI-Revenues &amp; Expenses'!O32</f>
        <v>0</v>
      </c>
      <c r="P794" s="1958">
        <f>'Part VI-Revenues &amp; Expenses'!P32</f>
        <v>0</v>
      </c>
      <c r="Q794" s="1977" t="str">
        <f>'Part VI-Revenues &amp; Expenses'!Q32</f>
        <v/>
      </c>
      <c r="R794" s="1978" t="str">
        <f>'Part VI-Revenues &amp; Expenses'!R32</f>
        <v/>
      </c>
      <c r="S794" s="1977">
        <f>'Part VI-Revenues &amp; Expenses'!S32</f>
        <v>0</v>
      </c>
      <c r="T794" s="1978">
        <f>'Part VI-Revenues &amp; Expenses'!T32</f>
        <v>0</v>
      </c>
      <c r="U794" s="1979">
        <f>'Part VI-Revenues &amp; Expenses'!U32:V32</f>
        <v>0</v>
      </c>
      <c r="V794" s="1979"/>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980" t="str">
        <f t="shared" si="202"/>
        <v/>
      </c>
      <c r="HZ794" s="1980" t="str">
        <f t="shared" si="203"/>
        <v/>
      </c>
      <c r="IA794" s="1980" t="str">
        <f t="shared" si="204"/>
        <v/>
      </c>
      <c r="IB794" s="1980" t="str">
        <f t="shared" si="205"/>
        <v/>
      </c>
      <c r="IC794" s="1980" t="str">
        <f t="shared" si="206"/>
        <v/>
      </c>
      <c r="ID794" s="1980" t="str">
        <f t="shared" si="207"/>
        <v/>
      </c>
      <c r="IE794" s="1980" t="str">
        <f t="shared" si="208"/>
        <v/>
      </c>
      <c r="IF794" s="1980" t="str">
        <f t="shared" si="209"/>
        <v/>
      </c>
      <c r="IG794" s="1980" t="str">
        <f t="shared" si="210"/>
        <v/>
      </c>
      <c r="IH794" s="1980" t="str">
        <f t="shared" si="211"/>
        <v/>
      </c>
      <c r="II794" s="1980" t="str">
        <f t="shared" si="212"/>
        <v/>
      </c>
      <c r="IJ794" s="1980" t="str">
        <f t="shared" si="213"/>
        <v/>
      </c>
      <c r="IK794" s="1980" t="str">
        <f t="shared" si="214"/>
        <v/>
      </c>
      <c r="IL794" s="1980" t="str">
        <f t="shared" si="215"/>
        <v/>
      </c>
      <c r="IM794" s="1980" t="str">
        <f t="shared" si="216"/>
        <v/>
      </c>
      <c r="IN794" s="1980" t="str">
        <f t="shared" si="217"/>
        <v/>
      </c>
      <c r="IO794" s="1980" t="str">
        <f t="shared" si="218"/>
        <v/>
      </c>
      <c r="IP794" s="1980" t="str">
        <f t="shared" si="219"/>
        <v/>
      </c>
      <c r="IQ794" s="1980" t="str">
        <f t="shared" si="220"/>
        <v/>
      </c>
      <c r="IR794" s="1980" t="str">
        <f t="shared" si="221"/>
        <v/>
      </c>
      <c r="IS794" s="1980" t="str">
        <f t="shared" si="222"/>
        <v/>
      </c>
      <c r="IT794" s="1980" t="str">
        <f t="shared" si="223"/>
        <v/>
      </c>
      <c r="IU794" s="1980" t="str">
        <f t="shared" si="224"/>
        <v/>
      </c>
      <c r="IV794" s="1980" t="str">
        <f t="shared" si="225"/>
        <v/>
      </c>
      <c r="IW794" s="1980" t="str">
        <f t="shared" si="226"/>
        <v/>
      </c>
      <c r="IX794" s="1980" t="str">
        <f t="shared" si="227"/>
        <v/>
      </c>
      <c r="IY794" s="1980" t="str">
        <f t="shared" si="228"/>
        <v/>
      </c>
      <c r="IZ794" s="1980" t="str">
        <f t="shared" si="229"/>
        <v/>
      </c>
      <c r="JA794" s="1980" t="str">
        <f t="shared" si="230"/>
        <v/>
      </c>
      <c r="JB794" s="1980" t="str">
        <f t="shared" si="231"/>
        <v/>
      </c>
      <c r="JC794" s="1980" t="str">
        <f t="shared" si="232"/>
        <v/>
      </c>
      <c r="JD794" s="1980" t="str">
        <f t="shared" si="233"/>
        <v/>
      </c>
      <c r="JE794" s="1980" t="str">
        <f t="shared" si="234"/>
        <v/>
      </c>
      <c r="JF794" s="1980" t="str">
        <f t="shared" si="235"/>
        <v/>
      </c>
      <c r="JG794" s="1980" t="str">
        <f t="shared" si="236"/>
        <v/>
      </c>
      <c r="JH794" s="1980" t="str">
        <f t="shared" si="237"/>
        <v/>
      </c>
      <c r="JI794" s="1980" t="str">
        <f t="shared" si="238"/>
        <v/>
      </c>
      <c r="JJ794" s="1980" t="str">
        <f t="shared" si="239"/>
        <v/>
      </c>
      <c r="JK794" s="1980" t="str">
        <f t="shared" si="240"/>
        <v/>
      </c>
      <c r="JL794" s="1980" t="str">
        <f t="shared" si="241"/>
        <v/>
      </c>
      <c r="JM794" s="1980" t="str">
        <f t="shared" si="242"/>
        <v/>
      </c>
      <c r="JN794" s="1980" t="str">
        <f t="shared" si="243"/>
        <v/>
      </c>
      <c r="JO794" s="1980" t="str">
        <f t="shared" si="244"/>
        <v/>
      </c>
      <c r="JP794" s="1980" t="str">
        <f t="shared" si="245"/>
        <v/>
      </c>
      <c r="JQ794" s="1980" t="str">
        <f t="shared" si="246"/>
        <v/>
      </c>
      <c r="JR794" s="1980" t="str">
        <f t="shared" si="247"/>
        <v/>
      </c>
      <c r="JS794" s="1980" t="str">
        <f t="shared" si="248"/>
        <v/>
      </c>
      <c r="JT794" s="1980" t="str">
        <f t="shared" si="249"/>
        <v/>
      </c>
      <c r="JU794" s="1980" t="str">
        <f t="shared" si="250"/>
        <v/>
      </c>
      <c r="JV794" s="1980" t="str">
        <f t="shared" si="251"/>
        <v/>
      </c>
      <c r="JW794" s="1980" t="str">
        <f t="shared" si="252"/>
        <v/>
      </c>
      <c r="JX794" s="1980" t="str">
        <f t="shared" si="253"/>
        <v/>
      </c>
      <c r="JY794" s="1980" t="str">
        <f t="shared" si="254"/>
        <v/>
      </c>
      <c r="JZ794" s="1980" t="str">
        <f t="shared" si="255"/>
        <v/>
      </c>
      <c r="KA794" s="1980" t="str">
        <f t="shared" si="256"/>
        <v/>
      </c>
      <c r="KB794" s="1980" t="str">
        <f t="shared" si="257"/>
        <v/>
      </c>
      <c r="KC794" s="1980" t="str">
        <f t="shared" si="258"/>
        <v/>
      </c>
      <c r="KD794" s="1980" t="str">
        <f t="shared" si="259"/>
        <v/>
      </c>
      <c r="KE794" s="1980" t="str">
        <f t="shared" si="260"/>
        <v/>
      </c>
      <c r="KF794" s="1980" t="str">
        <f t="shared" si="261"/>
        <v/>
      </c>
      <c r="KG794" s="1980" t="str">
        <f t="shared" si="262"/>
        <v/>
      </c>
      <c r="KH794" s="1980" t="str">
        <f t="shared" si="263"/>
        <v/>
      </c>
      <c r="KI794" s="1980" t="str">
        <f t="shared" si="264"/>
        <v/>
      </c>
      <c r="KJ794" s="1980" t="str">
        <f t="shared" si="265"/>
        <v/>
      </c>
      <c r="KK794" s="1980" t="str">
        <f t="shared" si="266"/>
        <v/>
      </c>
      <c r="KL794" s="1980" t="str">
        <f t="shared" si="267"/>
        <v/>
      </c>
      <c r="KM794" s="1980" t="str">
        <f t="shared" si="268"/>
        <v/>
      </c>
      <c r="KN794" s="1980" t="str">
        <f t="shared" si="269"/>
        <v/>
      </c>
      <c r="KO794" s="1980" t="str">
        <f t="shared" si="270"/>
        <v/>
      </c>
      <c r="KP794" s="1980" t="str">
        <f t="shared" si="271"/>
        <v/>
      </c>
      <c r="KQ794" s="1980" t="str">
        <f t="shared" si="272"/>
        <v/>
      </c>
      <c r="KR794" s="1980" t="str">
        <f t="shared" si="273"/>
        <v/>
      </c>
      <c r="KS794" s="1980" t="str">
        <f t="shared" si="274"/>
        <v/>
      </c>
      <c r="KT794" s="1980" t="str">
        <f t="shared" si="275"/>
        <v/>
      </c>
      <c r="KU794" s="1980" t="str">
        <f t="shared" si="276"/>
        <v/>
      </c>
      <c r="KV794" s="1980" t="str">
        <f t="shared" si="277"/>
        <v/>
      </c>
      <c r="KW794" s="1980" t="str">
        <f t="shared" si="278"/>
        <v/>
      </c>
      <c r="KX794" s="1980" t="str">
        <f t="shared" si="279"/>
        <v/>
      </c>
      <c r="KY794" s="1980" t="str">
        <f t="shared" si="280"/>
        <v/>
      </c>
      <c r="KZ794" s="1980" t="str">
        <f t="shared" si="281"/>
        <v/>
      </c>
      <c r="LA794" s="1980" t="str">
        <f t="shared" si="282"/>
        <v/>
      </c>
      <c r="LB794" s="1980" t="str">
        <f t="shared" si="283"/>
        <v/>
      </c>
      <c r="LC794" s="1980" t="str">
        <f t="shared" si="284"/>
        <v/>
      </c>
      <c r="LD794" s="1980" t="str">
        <f t="shared" si="285"/>
        <v/>
      </c>
      <c r="LE794" s="1980" t="str">
        <f t="shared" si="286"/>
        <v/>
      </c>
      <c r="LF794" s="1953" t="str">
        <f t="shared" si="287"/>
        <v/>
      </c>
      <c r="LG794" s="1953" t="str">
        <f t="shared" si="288"/>
        <v/>
      </c>
      <c r="LH794" s="1953" t="str">
        <f t="shared" si="289"/>
        <v/>
      </c>
      <c r="LI794" s="1953" t="str">
        <f t="shared" si="290"/>
        <v/>
      </c>
      <c r="LJ794" s="1953"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953">
        <f t="shared" si="323"/>
        <v>0</v>
      </c>
      <c r="MF794" s="1953">
        <f t="shared" si="324"/>
        <v>0</v>
      </c>
      <c r="MG794" s="1953">
        <f t="shared" si="325"/>
        <v>0</v>
      </c>
      <c r="MH794" s="1953">
        <f t="shared" si="326"/>
        <v>0</v>
      </c>
      <c r="MI794" s="1953">
        <f t="shared" si="327"/>
        <v>0</v>
      </c>
      <c r="MJ794" s="1953">
        <f t="shared" si="328"/>
        <v>0</v>
      </c>
      <c r="MK794" s="1953">
        <f t="shared" si="329"/>
        <v>0</v>
      </c>
      <c r="ML794" s="1953">
        <f t="shared" si="330"/>
        <v>0</v>
      </c>
      <c r="MM794" s="1953">
        <f t="shared" si="331"/>
        <v>0</v>
      </c>
      <c r="MN794" s="1953">
        <f t="shared" si="332"/>
        <v>0</v>
      </c>
      <c r="MO794" s="1953">
        <f t="shared" si="333"/>
        <v>0</v>
      </c>
      <c r="MP794" s="1953">
        <f t="shared" si="334"/>
        <v>0</v>
      </c>
      <c r="MQ794" s="1953">
        <f t="shared" si="335"/>
        <v>0</v>
      </c>
      <c r="MR794" s="1953">
        <f t="shared" si="336"/>
        <v>0</v>
      </c>
      <c r="MS794" s="1953">
        <f t="shared" si="337"/>
        <v>0</v>
      </c>
    </row>
    <row r="795" spans="1:357">
      <c r="A795" s="1955" t="str">
        <f t="shared" si="0"/>
        <v/>
      </c>
      <c r="B795" s="1971">
        <f>'Part VI-Revenues &amp; Expenses'!B33</f>
        <v>0</v>
      </c>
      <c r="C795" s="1972">
        <f>'Part VI-Revenues &amp; Expenses'!C33</f>
        <v>0</v>
      </c>
      <c r="D795" s="1973">
        <f>'Part VI-Revenues &amp; Expenses'!D33</f>
        <v>0</v>
      </c>
      <c r="E795" s="1974">
        <f>'Part VI-Revenues &amp; Expenses'!E33</f>
        <v>0</v>
      </c>
      <c r="F795" s="1974">
        <f>'Part VI-Revenues &amp; Expenses'!F33</f>
        <v>0</v>
      </c>
      <c r="G795" s="1974">
        <f>'Part VI-Revenues &amp; Expenses'!G33</f>
        <v>0</v>
      </c>
      <c r="H795" s="1974">
        <f>'Part VI-Revenues &amp; Expenses'!H33</f>
        <v>0</v>
      </c>
      <c r="I795" s="1974">
        <f>'Part VI-Revenues &amp; Expenses'!I33</f>
        <v>0</v>
      </c>
      <c r="J795" s="1975">
        <f>'Part VI-Revenues &amp; Expenses'!J33</f>
        <v>0</v>
      </c>
      <c r="K795" s="1976">
        <f t="shared" si="1"/>
        <v>0</v>
      </c>
      <c r="L795" s="1976">
        <f t="shared" si="2"/>
        <v>0</v>
      </c>
      <c r="M795" s="1834">
        <f>'Part VI-Revenues &amp; Expenses'!M33</f>
        <v>0</v>
      </c>
      <c r="N795" s="1834">
        <f>'Part VI-Revenues &amp; Expenses'!N33</f>
        <v>0</v>
      </c>
      <c r="O795" s="1834">
        <f>'Part VI-Revenues &amp; Expenses'!O33</f>
        <v>0</v>
      </c>
      <c r="P795" s="1958">
        <f>'Part VI-Revenues &amp; Expenses'!P33</f>
        <v>0</v>
      </c>
      <c r="Q795" s="1977" t="str">
        <f>'Part VI-Revenues &amp; Expenses'!Q33</f>
        <v/>
      </c>
      <c r="R795" s="1978" t="str">
        <f>'Part VI-Revenues &amp; Expenses'!R33</f>
        <v/>
      </c>
      <c r="S795" s="1977">
        <f>'Part VI-Revenues &amp; Expenses'!S33</f>
        <v>0</v>
      </c>
      <c r="T795" s="1978">
        <f>'Part VI-Revenues &amp; Expenses'!T33</f>
        <v>0</v>
      </c>
      <c r="U795" s="1979">
        <f>'Part VI-Revenues &amp; Expenses'!U33:V33</f>
        <v>0</v>
      </c>
      <c r="V795" s="1979"/>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980" t="str">
        <f t="shared" si="202"/>
        <v/>
      </c>
      <c r="HZ795" s="1980" t="str">
        <f t="shared" si="203"/>
        <v/>
      </c>
      <c r="IA795" s="1980" t="str">
        <f t="shared" si="204"/>
        <v/>
      </c>
      <c r="IB795" s="1980" t="str">
        <f t="shared" si="205"/>
        <v/>
      </c>
      <c r="IC795" s="1980" t="str">
        <f t="shared" si="206"/>
        <v/>
      </c>
      <c r="ID795" s="1980" t="str">
        <f t="shared" si="207"/>
        <v/>
      </c>
      <c r="IE795" s="1980" t="str">
        <f t="shared" si="208"/>
        <v/>
      </c>
      <c r="IF795" s="1980" t="str">
        <f t="shared" si="209"/>
        <v/>
      </c>
      <c r="IG795" s="1980" t="str">
        <f t="shared" si="210"/>
        <v/>
      </c>
      <c r="IH795" s="1980" t="str">
        <f t="shared" si="211"/>
        <v/>
      </c>
      <c r="II795" s="1980" t="str">
        <f t="shared" si="212"/>
        <v/>
      </c>
      <c r="IJ795" s="1980" t="str">
        <f t="shared" si="213"/>
        <v/>
      </c>
      <c r="IK795" s="1980" t="str">
        <f t="shared" si="214"/>
        <v/>
      </c>
      <c r="IL795" s="1980" t="str">
        <f t="shared" si="215"/>
        <v/>
      </c>
      <c r="IM795" s="1980" t="str">
        <f t="shared" si="216"/>
        <v/>
      </c>
      <c r="IN795" s="1980" t="str">
        <f t="shared" si="217"/>
        <v/>
      </c>
      <c r="IO795" s="1980" t="str">
        <f t="shared" si="218"/>
        <v/>
      </c>
      <c r="IP795" s="1980" t="str">
        <f t="shared" si="219"/>
        <v/>
      </c>
      <c r="IQ795" s="1980" t="str">
        <f t="shared" si="220"/>
        <v/>
      </c>
      <c r="IR795" s="1980" t="str">
        <f t="shared" si="221"/>
        <v/>
      </c>
      <c r="IS795" s="1980" t="str">
        <f t="shared" si="222"/>
        <v/>
      </c>
      <c r="IT795" s="1980" t="str">
        <f t="shared" si="223"/>
        <v/>
      </c>
      <c r="IU795" s="1980" t="str">
        <f t="shared" si="224"/>
        <v/>
      </c>
      <c r="IV795" s="1980" t="str">
        <f t="shared" si="225"/>
        <v/>
      </c>
      <c r="IW795" s="1980" t="str">
        <f t="shared" si="226"/>
        <v/>
      </c>
      <c r="IX795" s="1980" t="str">
        <f t="shared" si="227"/>
        <v/>
      </c>
      <c r="IY795" s="1980" t="str">
        <f t="shared" si="228"/>
        <v/>
      </c>
      <c r="IZ795" s="1980" t="str">
        <f t="shared" si="229"/>
        <v/>
      </c>
      <c r="JA795" s="1980" t="str">
        <f t="shared" si="230"/>
        <v/>
      </c>
      <c r="JB795" s="1980" t="str">
        <f t="shared" si="231"/>
        <v/>
      </c>
      <c r="JC795" s="1980" t="str">
        <f t="shared" si="232"/>
        <v/>
      </c>
      <c r="JD795" s="1980" t="str">
        <f t="shared" si="233"/>
        <v/>
      </c>
      <c r="JE795" s="1980" t="str">
        <f t="shared" si="234"/>
        <v/>
      </c>
      <c r="JF795" s="1980" t="str">
        <f t="shared" si="235"/>
        <v/>
      </c>
      <c r="JG795" s="1980" t="str">
        <f t="shared" si="236"/>
        <v/>
      </c>
      <c r="JH795" s="1980" t="str">
        <f t="shared" si="237"/>
        <v/>
      </c>
      <c r="JI795" s="1980" t="str">
        <f t="shared" si="238"/>
        <v/>
      </c>
      <c r="JJ795" s="1980" t="str">
        <f t="shared" si="239"/>
        <v/>
      </c>
      <c r="JK795" s="1980" t="str">
        <f t="shared" si="240"/>
        <v/>
      </c>
      <c r="JL795" s="1980" t="str">
        <f t="shared" si="241"/>
        <v/>
      </c>
      <c r="JM795" s="1980" t="str">
        <f t="shared" si="242"/>
        <v/>
      </c>
      <c r="JN795" s="1980" t="str">
        <f t="shared" si="243"/>
        <v/>
      </c>
      <c r="JO795" s="1980" t="str">
        <f t="shared" si="244"/>
        <v/>
      </c>
      <c r="JP795" s="1980" t="str">
        <f t="shared" si="245"/>
        <v/>
      </c>
      <c r="JQ795" s="1980" t="str">
        <f t="shared" si="246"/>
        <v/>
      </c>
      <c r="JR795" s="1980" t="str">
        <f t="shared" si="247"/>
        <v/>
      </c>
      <c r="JS795" s="1980" t="str">
        <f t="shared" si="248"/>
        <v/>
      </c>
      <c r="JT795" s="1980" t="str">
        <f t="shared" si="249"/>
        <v/>
      </c>
      <c r="JU795" s="1980" t="str">
        <f t="shared" si="250"/>
        <v/>
      </c>
      <c r="JV795" s="1980" t="str">
        <f t="shared" si="251"/>
        <v/>
      </c>
      <c r="JW795" s="1980" t="str">
        <f t="shared" si="252"/>
        <v/>
      </c>
      <c r="JX795" s="1980" t="str">
        <f t="shared" si="253"/>
        <v/>
      </c>
      <c r="JY795" s="1980" t="str">
        <f t="shared" si="254"/>
        <v/>
      </c>
      <c r="JZ795" s="1980" t="str">
        <f t="shared" si="255"/>
        <v/>
      </c>
      <c r="KA795" s="1980" t="str">
        <f t="shared" si="256"/>
        <v/>
      </c>
      <c r="KB795" s="1980" t="str">
        <f t="shared" si="257"/>
        <v/>
      </c>
      <c r="KC795" s="1980" t="str">
        <f t="shared" si="258"/>
        <v/>
      </c>
      <c r="KD795" s="1980" t="str">
        <f t="shared" si="259"/>
        <v/>
      </c>
      <c r="KE795" s="1980" t="str">
        <f t="shared" si="260"/>
        <v/>
      </c>
      <c r="KF795" s="1980" t="str">
        <f t="shared" si="261"/>
        <v/>
      </c>
      <c r="KG795" s="1980" t="str">
        <f t="shared" si="262"/>
        <v/>
      </c>
      <c r="KH795" s="1980" t="str">
        <f t="shared" si="263"/>
        <v/>
      </c>
      <c r="KI795" s="1980" t="str">
        <f t="shared" si="264"/>
        <v/>
      </c>
      <c r="KJ795" s="1980" t="str">
        <f t="shared" si="265"/>
        <v/>
      </c>
      <c r="KK795" s="1980" t="str">
        <f t="shared" si="266"/>
        <v/>
      </c>
      <c r="KL795" s="1980" t="str">
        <f t="shared" si="267"/>
        <v/>
      </c>
      <c r="KM795" s="1980" t="str">
        <f t="shared" si="268"/>
        <v/>
      </c>
      <c r="KN795" s="1980" t="str">
        <f t="shared" si="269"/>
        <v/>
      </c>
      <c r="KO795" s="1980" t="str">
        <f t="shared" si="270"/>
        <v/>
      </c>
      <c r="KP795" s="1980" t="str">
        <f t="shared" si="271"/>
        <v/>
      </c>
      <c r="KQ795" s="1980" t="str">
        <f t="shared" si="272"/>
        <v/>
      </c>
      <c r="KR795" s="1980" t="str">
        <f t="shared" si="273"/>
        <v/>
      </c>
      <c r="KS795" s="1980" t="str">
        <f t="shared" si="274"/>
        <v/>
      </c>
      <c r="KT795" s="1980" t="str">
        <f t="shared" si="275"/>
        <v/>
      </c>
      <c r="KU795" s="1980" t="str">
        <f t="shared" si="276"/>
        <v/>
      </c>
      <c r="KV795" s="1980" t="str">
        <f t="shared" si="277"/>
        <v/>
      </c>
      <c r="KW795" s="1980" t="str">
        <f t="shared" si="278"/>
        <v/>
      </c>
      <c r="KX795" s="1980" t="str">
        <f t="shared" si="279"/>
        <v/>
      </c>
      <c r="KY795" s="1980" t="str">
        <f t="shared" si="280"/>
        <v/>
      </c>
      <c r="KZ795" s="1980" t="str">
        <f t="shared" si="281"/>
        <v/>
      </c>
      <c r="LA795" s="1980" t="str">
        <f t="shared" si="282"/>
        <v/>
      </c>
      <c r="LB795" s="1980" t="str">
        <f t="shared" si="283"/>
        <v/>
      </c>
      <c r="LC795" s="1980" t="str">
        <f t="shared" si="284"/>
        <v/>
      </c>
      <c r="LD795" s="1980" t="str">
        <f t="shared" si="285"/>
        <v/>
      </c>
      <c r="LE795" s="1980" t="str">
        <f t="shared" si="286"/>
        <v/>
      </c>
      <c r="LF795" s="1953" t="str">
        <f t="shared" si="287"/>
        <v/>
      </c>
      <c r="LG795" s="1953" t="str">
        <f t="shared" si="288"/>
        <v/>
      </c>
      <c r="LH795" s="1953" t="str">
        <f t="shared" si="289"/>
        <v/>
      </c>
      <c r="LI795" s="1953" t="str">
        <f t="shared" si="290"/>
        <v/>
      </c>
      <c r="LJ795" s="1953"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953">
        <f t="shared" si="323"/>
        <v>0</v>
      </c>
      <c r="MF795" s="1953">
        <f t="shared" si="324"/>
        <v>0</v>
      </c>
      <c r="MG795" s="1953">
        <f t="shared" si="325"/>
        <v>0</v>
      </c>
      <c r="MH795" s="1953">
        <f t="shared" si="326"/>
        <v>0</v>
      </c>
      <c r="MI795" s="1953">
        <f t="shared" si="327"/>
        <v>0</v>
      </c>
      <c r="MJ795" s="1953">
        <f t="shared" si="328"/>
        <v>0</v>
      </c>
      <c r="MK795" s="1953">
        <f t="shared" si="329"/>
        <v>0</v>
      </c>
      <c r="ML795" s="1953">
        <f t="shared" si="330"/>
        <v>0</v>
      </c>
      <c r="MM795" s="1953">
        <f t="shared" si="331"/>
        <v>0</v>
      </c>
      <c r="MN795" s="1953">
        <f t="shared" si="332"/>
        <v>0</v>
      </c>
      <c r="MO795" s="1953">
        <f t="shared" si="333"/>
        <v>0</v>
      </c>
      <c r="MP795" s="1953">
        <f t="shared" si="334"/>
        <v>0</v>
      </c>
      <c r="MQ795" s="1953">
        <f t="shared" si="335"/>
        <v>0</v>
      </c>
      <c r="MR795" s="1953">
        <f t="shared" si="336"/>
        <v>0</v>
      </c>
      <c r="MS795" s="1953">
        <f t="shared" si="337"/>
        <v>0</v>
      </c>
    </row>
    <row r="796" spans="1:357">
      <c r="A796" s="1955" t="str">
        <f t="shared" si="0"/>
        <v/>
      </c>
      <c r="B796" s="1971">
        <f>'Part VI-Revenues &amp; Expenses'!B34</f>
        <v>0</v>
      </c>
      <c r="C796" s="1972">
        <f>'Part VI-Revenues &amp; Expenses'!C34</f>
        <v>0</v>
      </c>
      <c r="D796" s="1973">
        <f>'Part VI-Revenues &amp; Expenses'!D34</f>
        <v>0</v>
      </c>
      <c r="E796" s="1974">
        <f>'Part VI-Revenues &amp; Expenses'!E34</f>
        <v>0</v>
      </c>
      <c r="F796" s="1974">
        <f>'Part VI-Revenues &amp; Expenses'!F34</f>
        <v>0</v>
      </c>
      <c r="G796" s="1974">
        <f>'Part VI-Revenues &amp; Expenses'!G34</f>
        <v>0</v>
      </c>
      <c r="H796" s="1974">
        <f>'Part VI-Revenues &amp; Expenses'!H34</f>
        <v>0</v>
      </c>
      <c r="I796" s="1974">
        <f>'Part VI-Revenues &amp; Expenses'!I34</f>
        <v>0</v>
      </c>
      <c r="J796" s="1975">
        <f>'Part VI-Revenues &amp; Expenses'!J34</f>
        <v>0</v>
      </c>
      <c r="K796" s="1976">
        <f t="shared" si="1"/>
        <v>0</v>
      </c>
      <c r="L796" s="1976">
        <f t="shared" si="2"/>
        <v>0</v>
      </c>
      <c r="M796" s="1834">
        <f>'Part VI-Revenues &amp; Expenses'!M34</f>
        <v>0</v>
      </c>
      <c r="N796" s="1834">
        <f>'Part VI-Revenues &amp; Expenses'!N34</f>
        <v>0</v>
      </c>
      <c r="O796" s="1834">
        <f>'Part VI-Revenues &amp; Expenses'!O34</f>
        <v>0</v>
      </c>
      <c r="P796" s="1958">
        <f>'Part VI-Revenues &amp; Expenses'!P34</f>
        <v>0</v>
      </c>
      <c r="Q796" s="1977" t="str">
        <f>'Part VI-Revenues &amp; Expenses'!Q34</f>
        <v/>
      </c>
      <c r="R796" s="1978" t="str">
        <f>'Part VI-Revenues &amp; Expenses'!R34</f>
        <v/>
      </c>
      <c r="S796" s="1977">
        <f>'Part VI-Revenues &amp; Expenses'!S34</f>
        <v>0</v>
      </c>
      <c r="T796" s="1978">
        <f>'Part VI-Revenues &amp; Expenses'!T34</f>
        <v>0</v>
      </c>
      <c r="U796" s="1979">
        <f>'Part VI-Revenues &amp; Expenses'!U34:V34</f>
        <v>0</v>
      </c>
      <c r="V796" s="1979"/>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980" t="str">
        <f t="shared" si="202"/>
        <v/>
      </c>
      <c r="HZ796" s="1980" t="str">
        <f t="shared" si="203"/>
        <v/>
      </c>
      <c r="IA796" s="1980" t="str">
        <f t="shared" si="204"/>
        <v/>
      </c>
      <c r="IB796" s="1980" t="str">
        <f t="shared" si="205"/>
        <v/>
      </c>
      <c r="IC796" s="1980" t="str">
        <f t="shared" si="206"/>
        <v/>
      </c>
      <c r="ID796" s="1980" t="str">
        <f t="shared" si="207"/>
        <v/>
      </c>
      <c r="IE796" s="1980" t="str">
        <f t="shared" si="208"/>
        <v/>
      </c>
      <c r="IF796" s="1980" t="str">
        <f t="shared" si="209"/>
        <v/>
      </c>
      <c r="IG796" s="1980" t="str">
        <f t="shared" si="210"/>
        <v/>
      </c>
      <c r="IH796" s="1980" t="str">
        <f t="shared" si="211"/>
        <v/>
      </c>
      <c r="II796" s="1980" t="str">
        <f t="shared" si="212"/>
        <v/>
      </c>
      <c r="IJ796" s="1980" t="str">
        <f t="shared" si="213"/>
        <v/>
      </c>
      <c r="IK796" s="1980" t="str">
        <f t="shared" si="214"/>
        <v/>
      </c>
      <c r="IL796" s="1980" t="str">
        <f t="shared" si="215"/>
        <v/>
      </c>
      <c r="IM796" s="1980" t="str">
        <f t="shared" si="216"/>
        <v/>
      </c>
      <c r="IN796" s="1980" t="str">
        <f t="shared" si="217"/>
        <v/>
      </c>
      <c r="IO796" s="1980" t="str">
        <f t="shared" si="218"/>
        <v/>
      </c>
      <c r="IP796" s="1980" t="str">
        <f t="shared" si="219"/>
        <v/>
      </c>
      <c r="IQ796" s="1980" t="str">
        <f t="shared" si="220"/>
        <v/>
      </c>
      <c r="IR796" s="1980" t="str">
        <f t="shared" si="221"/>
        <v/>
      </c>
      <c r="IS796" s="1980" t="str">
        <f t="shared" si="222"/>
        <v/>
      </c>
      <c r="IT796" s="1980" t="str">
        <f t="shared" si="223"/>
        <v/>
      </c>
      <c r="IU796" s="1980" t="str">
        <f t="shared" si="224"/>
        <v/>
      </c>
      <c r="IV796" s="1980" t="str">
        <f t="shared" si="225"/>
        <v/>
      </c>
      <c r="IW796" s="1980" t="str">
        <f t="shared" si="226"/>
        <v/>
      </c>
      <c r="IX796" s="1980" t="str">
        <f t="shared" si="227"/>
        <v/>
      </c>
      <c r="IY796" s="1980" t="str">
        <f t="shared" si="228"/>
        <v/>
      </c>
      <c r="IZ796" s="1980" t="str">
        <f t="shared" si="229"/>
        <v/>
      </c>
      <c r="JA796" s="1980" t="str">
        <f t="shared" si="230"/>
        <v/>
      </c>
      <c r="JB796" s="1980" t="str">
        <f t="shared" si="231"/>
        <v/>
      </c>
      <c r="JC796" s="1980" t="str">
        <f t="shared" si="232"/>
        <v/>
      </c>
      <c r="JD796" s="1980" t="str">
        <f t="shared" si="233"/>
        <v/>
      </c>
      <c r="JE796" s="1980" t="str">
        <f t="shared" si="234"/>
        <v/>
      </c>
      <c r="JF796" s="1980" t="str">
        <f t="shared" si="235"/>
        <v/>
      </c>
      <c r="JG796" s="1980" t="str">
        <f t="shared" si="236"/>
        <v/>
      </c>
      <c r="JH796" s="1980" t="str">
        <f t="shared" si="237"/>
        <v/>
      </c>
      <c r="JI796" s="1980" t="str">
        <f t="shared" si="238"/>
        <v/>
      </c>
      <c r="JJ796" s="1980" t="str">
        <f t="shared" si="239"/>
        <v/>
      </c>
      <c r="JK796" s="1980" t="str">
        <f t="shared" si="240"/>
        <v/>
      </c>
      <c r="JL796" s="1980" t="str">
        <f t="shared" si="241"/>
        <v/>
      </c>
      <c r="JM796" s="1980" t="str">
        <f t="shared" si="242"/>
        <v/>
      </c>
      <c r="JN796" s="1980" t="str">
        <f t="shared" si="243"/>
        <v/>
      </c>
      <c r="JO796" s="1980" t="str">
        <f t="shared" si="244"/>
        <v/>
      </c>
      <c r="JP796" s="1980" t="str">
        <f t="shared" si="245"/>
        <v/>
      </c>
      <c r="JQ796" s="1980" t="str">
        <f t="shared" si="246"/>
        <v/>
      </c>
      <c r="JR796" s="1980" t="str">
        <f t="shared" si="247"/>
        <v/>
      </c>
      <c r="JS796" s="1980" t="str">
        <f t="shared" si="248"/>
        <v/>
      </c>
      <c r="JT796" s="1980" t="str">
        <f t="shared" si="249"/>
        <v/>
      </c>
      <c r="JU796" s="1980" t="str">
        <f t="shared" si="250"/>
        <v/>
      </c>
      <c r="JV796" s="1980" t="str">
        <f t="shared" si="251"/>
        <v/>
      </c>
      <c r="JW796" s="1980" t="str">
        <f t="shared" si="252"/>
        <v/>
      </c>
      <c r="JX796" s="1980" t="str">
        <f t="shared" si="253"/>
        <v/>
      </c>
      <c r="JY796" s="1980" t="str">
        <f t="shared" si="254"/>
        <v/>
      </c>
      <c r="JZ796" s="1980" t="str">
        <f t="shared" si="255"/>
        <v/>
      </c>
      <c r="KA796" s="1980" t="str">
        <f t="shared" si="256"/>
        <v/>
      </c>
      <c r="KB796" s="1980" t="str">
        <f t="shared" si="257"/>
        <v/>
      </c>
      <c r="KC796" s="1980" t="str">
        <f t="shared" si="258"/>
        <v/>
      </c>
      <c r="KD796" s="1980" t="str">
        <f t="shared" si="259"/>
        <v/>
      </c>
      <c r="KE796" s="1980" t="str">
        <f t="shared" si="260"/>
        <v/>
      </c>
      <c r="KF796" s="1980" t="str">
        <f t="shared" si="261"/>
        <v/>
      </c>
      <c r="KG796" s="1980" t="str">
        <f t="shared" si="262"/>
        <v/>
      </c>
      <c r="KH796" s="1980" t="str">
        <f t="shared" si="263"/>
        <v/>
      </c>
      <c r="KI796" s="1980" t="str">
        <f t="shared" si="264"/>
        <v/>
      </c>
      <c r="KJ796" s="1980" t="str">
        <f t="shared" si="265"/>
        <v/>
      </c>
      <c r="KK796" s="1980" t="str">
        <f t="shared" si="266"/>
        <v/>
      </c>
      <c r="KL796" s="1980" t="str">
        <f t="shared" si="267"/>
        <v/>
      </c>
      <c r="KM796" s="1980" t="str">
        <f t="shared" si="268"/>
        <v/>
      </c>
      <c r="KN796" s="1980" t="str">
        <f t="shared" si="269"/>
        <v/>
      </c>
      <c r="KO796" s="1980" t="str">
        <f t="shared" si="270"/>
        <v/>
      </c>
      <c r="KP796" s="1980" t="str">
        <f t="shared" si="271"/>
        <v/>
      </c>
      <c r="KQ796" s="1980" t="str">
        <f t="shared" si="272"/>
        <v/>
      </c>
      <c r="KR796" s="1980" t="str">
        <f t="shared" si="273"/>
        <v/>
      </c>
      <c r="KS796" s="1980" t="str">
        <f t="shared" si="274"/>
        <v/>
      </c>
      <c r="KT796" s="1980" t="str">
        <f t="shared" si="275"/>
        <v/>
      </c>
      <c r="KU796" s="1980" t="str">
        <f t="shared" si="276"/>
        <v/>
      </c>
      <c r="KV796" s="1980" t="str">
        <f t="shared" si="277"/>
        <v/>
      </c>
      <c r="KW796" s="1980" t="str">
        <f t="shared" si="278"/>
        <v/>
      </c>
      <c r="KX796" s="1980" t="str">
        <f t="shared" si="279"/>
        <v/>
      </c>
      <c r="KY796" s="1980" t="str">
        <f t="shared" si="280"/>
        <v/>
      </c>
      <c r="KZ796" s="1980" t="str">
        <f t="shared" si="281"/>
        <v/>
      </c>
      <c r="LA796" s="1980" t="str">
        <f t="shared" si="282"/>
        <v/>
      </c>
      <c r="LB796" s="1980" t="str">
        <f t="shared" si="283"/>
        <v/>
      </c>
      <c r="LC796" s="1980" t="str">
        <f t="shared" si="284"/>
        <v/>
      </c>
      <c r="LD796" s="1980" t="str">
        <f t="shared" si="285"/>
        <v/>
      </c>
      <c r="LE796" s="1980" t="str">
        <f t="shared" si="286"/>
        <v/>
      </c>
      <c r="LF796" s="1953" t="str">
        <f t="shared" si="287"/>
        <v/>
      </c>
      <c r="LG796" s="1953" t="str">
        <f t="shared" si="288"/>
        <v/>
      </c>
      <c r="LH796" s="1953" t="str">
        <f t="shared" si="289"/>
        <v/>
      </c>
      <c r="LI796" s="1953" t="str">
        <f t="shared" si="290"/>
        <v/>
      </c>
      <c r="LJ796" s="1953"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953">
        <f t="shared" si="323"/>
        <v>0</v>
      </c>
      <c r="MF796" s="1953">
        <f t="shared" si="324"/>
        <v>0</v>
      </c>
      <c r="MG796" s="1953">
        <f t="shared" si="325"/>
        <v>0</v>
      </c>
      <c r="MH796" s="1953">
        <f t="shared" si="326"/>
        <v>0</v>
      </c>
      <c r="MI796" s="1953">
        <f t="shared" si="327"/>
        <v>0</v>
      </c>
      <c r="MJ796" s="1953">
        <f t="shared" si="328"/>
        <v>0</v>
      </c>
      <c r="MK796" s="1953">
        <f t="shared" si="329"/>
        <v>0</v>
      </c>
      <c r="ML796" s="1953">
        <f t="shared" si="330"/>
        <v>0</v>
      </c>
      <c r="MM796" s="1953">
        <f t="shared" si="331"/>
        <v>0</v>
      </c>
      <c r="MN796" s="1953">
        <f t="shared" si="332"/>
        <v>0</v>
      </c>
      <c r="MO796" s="1953">
        <f t="shared" si="333"/>
        <v>0</v>
      </c>
      <c r="MP796" s="1953">
        <f t="shared" si="334"/>
        <v>0</v>
      </c>
      <c r="MQ796" s="1953">
        <f t="shared" si="335"/>
        <v>0</v>
      </c>
      <c r="MR796" s="1953">
        <f t="shared" si="336"/>
        <v>0</v>
      </c>
      <c r="MS796" s="1953">
        <f t="shared" si="337"/>
        <v>0</v>
      </c>
    </row>
    <row r="797" spans="1:357">
      <c r="A797" s="1955" t="str">
        <f t="shared" si="0"/>
        <v/>
      </c>
      <c r="B797" s="1971">
        <f>'Part VI-Revenues &amp; Expenses'!B35</f>
        <v>0</v>
      </c>
      <c r="C797" s="1972">
        <f>'Part VI-Revenues &amp; Expenses'!C35</f>
        <v>0</v>
      </c>
      <c r="D797" s="1973">
        <f>'Part VI-Revenues &amp; Expenses'!D35</f>
        <v>0</v>
      </c>
      <c r="E797" s="1974">
        <f>'Part VI-Revenues &amp; Expenses'!E35</f>
        <v>0</v>
      </c>
      <c r="F797" s="1974">
        <f>'Part VI-Revenues &amp; Expenses'!F35</f>
        <v>0</v>
      </c>
      <c r="G797" s="1974">
        <f>'Part VI-Revenues &amp; Expenses'!G35</f>
        <v>0</v>
      </c>
      <c r="H797" s="1974">
        <f>'Part VI-Revenues &amp; Expenses'!H35</f>
        <v>0</v>
      </c>
      <c r="I797" s="1974">
        <f>'Part VI-Revenues &amp; Expenses'!I35</f>
        <v>0</v>
      </c>
      <c r="J797" s="1975">
        <f>'Part VI-Revenues &amp; Expenses'!J35</f>
        <v>0</v>
      </c>
      <c r="K797" s="1976">
        <f t="shared" si="1"/>
        <v>0</v>
      </c>
      <c r="L797" s="1976">
        <f t="shared" si="2"/>
        <v>0</v>
      </c>
      <c r="M797" s="1834">
        <f>'Part VI-Revenues &amp; Expenses'!M35</f>
        <v>0</v>
      </c>
      <c r="N797" s="1834">
        <f>'Part VI-Revenues &amp; Expenses'!N35</f>
        <v>0</v>
      </c>
      <c r="O797" s="1834">
        <f>'Part VI-Revenues &amp; Expenses'!O35</f>
        <v>0</v>
      </c>
      <c r="P797" s="1958">
        <f>'Part VI-Revenues &amp; Expenses'!P35</f>
        <v>0</v>
      </c>
      <c r="Q797" s="1977" t="str">
        <f>'Part VI-Revenues &amp; Expenses'!Q35</f>
        <v/>
      </c>
      <c r="R797" s="1978" t="str">
        <f>'Part VI-Revenues &amp; Expenses'!R35</f>
        <v/>
      </c>
      <c r="S797" s="1977">
        <f>'Part VI-Revenues &amp; Expenses'!S35</f>
        <v>0</v>
      </c>
      <c r="T797" s="1978">
        <f>'Part VI-Revenues &amp; Expenses'!T35</f>
        <v>0</v>
      </c>
      <c r="U797" s="1979">
        <f>'Part VI-Revenues &amp; Expenses'!U35:V35</f>
        <v>0</v>
      </c>
      <c r="V797" s="1979"/>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980" t="str">
        <f t="shared" si="202"/>
        <v/>
      </c>
      <c r="HZ797" s="1980" t="str">
        <f t="shared" si="203"/>
        <v/>
      </c>
      <c r="IA797" s="1980" t="str">
        <f t="shared" si="204"/>
        <v/>
      </c>
      <c r="IB797" s="1980" t="str">
        <f t="shared" si="205"/>
        <v/>
      </c>
      <c r="IC797" s="1980" t="str">
        <f t="shared" si="206"/>
        <v/>
      </c>
      <c r="ID797" s="1980" t="str">
        <f t="shared" si="207"/>
        <v/>
      </c>
      <c r="IE797" s="1980" t="str">
        <f t="shared" si="208"/>
        <v/>
      </c>
      <c r="IF797" s="1980" t="str">
        <f t="shared" si="209"/>
        <v/>
      </c>
      <c r="IG797" s="1980" t="str">
        <f t="shared" si="210"/>
        <v/>
      </c>
      <c r="IH797" s="1980" t="str">
        <f t="shared" si="211"/>
        <v/>
      </c>
      <c r="II797" s="1980" t="str">
        <f t="shared" si="212"/>
        <v/>
      </c>
      <c r="IJ797" s="1980" t="str">
        <f t="shared" si="213"/>
        <v/>
      </c>
      <c r="IK797" s="1980" t="str">
        <f t="shared" si="214"/>
        <v/>
      </c>
      <c r="IL797" s="1980" t="str">
        <f t="shared" si="215"/>
        <v/>
      </c>
      <c r="IM797" s="1980" t="str">
        <f t="shared" si="216"/>
        <v/>
      </c>
      <c r="IN797" s="1980" t="str">
        <f t="shared" si="217"/>
        <v/>
      </c>
      <c r="IO797" s="1980" t="str">
        <f t="shared" si="218"/>
        <v/>
      </c>
      <c r="IP797" s="1980" t="str">
        <f t="shared" si="219"/>
        <v/>
      </c>
      <c r="IQ797" s="1980" t="str">
        <f t="shared" si="220"/>
        <v/>
      </c>
      <c r="IR797" s="1980" t="str">
        <f t="shared" si="221"/>
        <v/>
      </c>
      <c r="IS797" s="1980" t="str">
        <f t="shared" si="222"/>
        <v/>
      </c>
      <c r="IT797" s="1980" t="str">
        <f t="shared" si="223"/>
        <v/>
      </c>
      <c r="IU797" s="1980" t="str">
        <f t="shared" si="224"/>
        <v/>
      </c>
      <c r="IV797" s="1980" t="str">
        <f t="shared" si="225"/>
        <v/>
      </c>
      <c r="IW797" s="1980" t="str">
        <f t="shared" si="226"/>
        <v/>
      </c>
      <c r="IX797" s="1980" t="str">
        <f t="shared" si="227"/>
        <v/>
      </c>
      <c r="IY797" s="1980" t="str">
        <f t="shared" si="228"/>
        <v/>
      </c>
      <c r="IZ797" s="1980" t="str">
        <f t="shared" si="229"/>
        <v/>
      </c>
      <c r="JA797" s="1980" t="str">
        <f t="shared" si="230"/>
        <v/>
      </c>
      <c r="JB797" s="1980" t="str">
        <f t="shared" si="231"/>
        <v/>
      </c>
      <c r="JC797" s="1980" t="str">
        <f t="shared" si="232"/>
        <v/>
      </c>
      <c r="JD797" s="1980" t="str">
        <f t="shared" si="233"/>
        <v/>
      </c>
      <c r="JE797" s="1980" t="str">
        <f t="shared" si="234"/>
        <v/>
      </c>
      <c r="JF797" s="1980" t="str">
        <f t="shared" si="235"/>
        <v/>
      </c>
      <c r="JG797" s="1980" t="str">
        <f t="shared" si="236"/>
        <v/>
      </c>
      <c r="JH797" s="1980" t="str">
        <f t="shared" si="237"/>
        <v/>
      </c>
      <c r="JI797" s="1980" t="str">
        <f t="shared" si="238"/>
        <v/>
      </c>
      <c r="JJ797" s="1980" t="str">
        <f t="shared" si="239"/>
        <v/>
      </c>
      <c r="JK797" s="1980" t="str">
        <f t="shared" si="240"/>
        <v/>
      </c>
      <c r="JL797" s="1980" t="str">
        <f t="shared" si="241"/>
        <v/>
      </c>
      <c r="JM797" s="1980" t="str">
        <f t="shared" si="242"/>
        <v/>
      </c>
      <c r="JN797" s="1980" t="str">
        <f t="shared" si="243"/>
        <v/>
      </c>
      <c r="JO797" s="1980" t="str">
        <f t="shared" si="244"/>
        <v/>
      </c>
      <c r="JP797" s="1980" t="str">
        <f t="shared" si="245"/>
        <v/>
      </c>
      <c r="JQ797" s="1980" t="str">
        <f t="shared" si="246"/>
        <v/>
      </c>
      <c r="JR797" s="1980" t="str">
        <f t="shared" si="247"/>
        <v/>
      </c>
      <c r="JS797" s="1980" t="str">
        <f t="shared" si="248"/>
        <v/>
      </c>
      <c r="JT797" s="1980" t="str">
        <f t="shared" si="249"/>
        <v/>
      </c>
      <c r="JU797" s="1980" t="str">
        <f t="shared" si="250"/>
        <v/>
      </c>
      <c r="JV797" s="1980" t="str">
        <f t="shared" si="251"/>
        <v/>
      </c>
      <c r="JW797" s="1980" t="str">
        <f t="shared" si="252"/>
        <v/>
      </c>
      <c r="JX797" s="1980" t="str">
        <f t="shared" si="253"/>
        <v/>
      </c>
      <c r="JY797" s="1980" t="str">
        <f t="shared" si="254"/>
        <v/>
      </c>
      <c r="JZ797" s="1980" t="str">
        <f t="shared" si="255"/>
        <v/>
      </c>
      <c r="KA797" s="1980" t="str">
        <f t="shared" si="256"/>
        <v/>
      </c>
      <c r="KB797" s="1980" t="str">
        <f t="shared" si="257"/>
        <v/>
      </c>
      <c r="KC797" s="1980" t="str">
        <f t="shared" si="258"/>
        <v/>
      </c>
      <c r="KD797" s="1980" t="str">
        <f t="shared" si="259"/>
        <v/>
      </c>
      <c r="KE797" s="1980" t="str">
        <f t="shared" si="260"/>
        <v/>
      </c>
      <c r="KF797" s="1980" t="str">
        <f t="shared" si="261"/>
        <v/>
      </c>
      <c r="KG797" s="1980" t="str">
        <f t="shared" si="262"/>
        <v/>
      </c>
      <c r="KH797" s="1980" t="str">
        <f t="shared" si="263"/>
        <v/>
      </c>
      <c r="KI797" s="1980" t="str">
        <f t="shared" si="264"/>
        <v/>
      </c>
      <c r="KJ797" s="1980" t="str">
        <f t="shared" si="265"/>
        <v/>
      </c>
      <c r="KK797" s="1980" t="str">
        <f t="shared" si="266"/>
        <v/>
      </c>
      <c r="KL797" s="1980" t="str">
        <f t="shared" si="267"/>
        <v/>
      </c>
      <c r="KM797" s="1980" t="str">
        <f t="shared" si="268"/>
        <v/>
      </c>
      <c r="KN797" s="1980" t="str">
        <f t="shared" si="269"/>
        <v/>
      </c>
      <c r="KO797" s="1980" t="str">
        <f t="shared" si="270"/>
        <v/>
      </c>
      <c r="KP797" s="1980" t="str">
        <f t="shared" si="271"/>
        <v/>
      </c>
      <c r="KQ797" s="1980" t="str">
        <f t="shared" si="272"/>
        <v/>
      </c>
      <c r="KR797" s="1980" t="str">
        <f t="shared" si="273"/>
        <v/>
      </c>
      <c r="KS797" s="1980" t="str">
        <f t="shared" si="274"/>
        <v/>
      </c>
      <c r="KT797" s="1980" t="str">
        <f t="shared" si="275"/>
        <v/>
      </c>
      <c r="KU797" s="1980" t="str">
        <f t="shared" si="276"/>
        <v/>
      </c>
      <c r="KV797" s="1980" t="str">
        <f t="shared" si="277"/>
        <v/>
      </c>
      <c r="KW797" s="1980" t="str">
        <f t="shared" si="278"/>
        <v/>
      </c>
      <c r="KX797" s="1980" t="str">
        <f t="shared" si="279"/>
        <v/>
      </c>
      <c r="KY797" s="1980" t="str">
        <f t="shared" si="280"/>
        <v/>
      </c>
      <c r="KZ797" s="1980" t="str">
        <f t="shared" si="281"/>
        <v/>
      </c>
      <c r="LA797" s="1980" t="str">
        <f t="shared" si="282"/>
        <v/>
      </c>
      <c r="LB797" s="1980" t="str">
        <f t="shared" si="283"/>
        <v/>
      </c>
      <c r="LC797" s="1980" t="str">
        <f t="shared" si="284"/>
        <v/>
      </c>
      <c r="LD797" s="1980" t="str">
        <f t="shared" si="285"/>
        <v/>
      </c>
      <c r="LE797" s="1980" t="str">
        <f t="shared" si="286"/>
        <v/>
      </c>
      <c r="LF797" s="1953" t="str">
        <f t="shared" si="287"/>
        <v/>
      </c>
      <c r="LG797" s="1953" t="str">
        <f t="shared" si="288"/>
        <v/>
      </c>
      <c r="LH797" s="1953" t="str">
        <f t="shared" si="289"/>
        <v/>
      </c>
      <c r="LI797" s="1953" t="str">
        <f t="shared" si="290"/>
        <v/>
      </c>
      <c r="LJ797" s="1953"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953">
        <f t="shared" si="323"/>
        <v>0</v>
      </c>
      <c r="MF797" s="1953">
        <f t="shared" si="324"/>
        <v>0</v>
      </c>
      <c r="MG797" s="1953">
        <f t="shared" si="325"/>
        <v>0</v>
      </c>
      <c r="MH797" s="1953">
        <f t="shared" si="326"/>
        <v>0</v>
      </c>
      <c r="MI797" s="1953">
        <f t="shared" si="327"/>
        <v>0</v>
      </c>
      <c r="MJ797" s="1953">
        <f t="shared" si="328"/>
        <v>0</v>
      </c>
      <c r="MK797" s="1953">
        <f t="shared" si="329"/>
        <v>0</v>
      </c>
      <c r="ML797" s="1953">
        <f t="shared" si="330"/>
        <v>0</v>
      </c>
      <c r="MM797" s="1953">
        <f t="shared" si="331"/>
        <v>0</v>
      </c>
      <c r="MN797" s="1953">
        <f t="shared" si="332"/>
        <v>0</v>
      </c>
      <c r="MO797" s="1953">
        <f t="shared" si="333"/>
        <v>0</v>
      </c>
      <c r="MP797" s="1953">
        <f t="shared" si="334"/>
        <v>0</v>
      </c>
      <c r="MQ797" s="1953">
        <f t="shared" si="335"/>
        <v>0</v>
      </c>
      <c r="MR797" s="1953">
        <f t="shared" si="336"/>
        <v>0</v>
      </c>
      <c r="MS797" s="1953">
        <f t="shared" si="337"/>
        <v>0</v>
      </c>
    </row>
    <row r="798" spans="1:357">
      <c r="A798" s="1955" t="str">
        <f t="shared" si="0"/>
        <v/>
      </c>
      <c r="B798" s="1971">
        <f>'Part VI-Revenues &amp; Expenses'!B36</f>
        <v>0</v>
      </c>
      <c r="C798" s="1972">
        <f>'Part VI-Revenues &amp; Expenses'!C36</f>
        <v>0</v>
      </c>
      <c r="D798" s="1973">
        <f>'Part VI-Revenues &amp; Expenses'!D36</f>
        <v>0</v>
      </c>
      <c r="E798" s="1974">
        <f>'Part VI-Revenues &amp; Expenses'!E36</f>
        <v>0</v>
      </c>
      <c r="F798" s="1974">
        <f>'Part VI-Revenues &amp; Expenses'!F36</f>
        <v>0</v>
      </c>
      <c r="G798" s="1974">
        <f>'Part VI-Revenues &amp; Expenses'!G36</f>
        <v>0</v>
      </c>
      <c r="H798" s="1974">
        <f>'Part VI-Revenues &amp; Expenses'!H36</f>
        <v>0</v>
      </c>
      <c r="I798" s="1974">
        <f>'Part VI-Revenues &amp; Expenses'!I36</f>
        <v>0</v>
      </c>
      <c r="J798" s="1975">
        <f>'Part VI-Revenues &amp; Expenses'!J36</f>
        <v>0</v>
      </c>
      <c r="K798" s="1976">
        <f t="shared" si="1"/>
        <v>0</v>
      </c>
      <c r="L798" s="1976">
        <f t="shared" si="2"/>
        <v>0</v>
      </c>
      <c r="M798" s="1834">
        <f>'Part VI-Revenues &amp; Expenses'!M36</f>
        <v>0</v>
      </c>
      <c r="N798" s="1834">
        <f>'Part VI-Revenues &amp; Expenses'!N36</f>
        <v>0</v>
      </c>
      <c r="O798" s="1834">
        <f>'Part VI-Revenues &amp; Expenses'!O36</f>
        <v>0</v>
      </c>
      <c r="P798" s="1958">
        <f>'Part VI-Revenues &amp; Expenses'!P36</f>
        <v>0</v>
      </c>
      <c r="Q798" s="1977" t="str">
        <f>'Part VI-Revenues &amp; Expenses'!Q36</f>
        <v/>
      </c>
      <c r="R798" s="1978" t="str">
        <f>'Part VI-Revenues &amp; Expenses'!R36</f>
        <v/>
      </c>
      <c r="S798" s="1977">
        <f>'Part VI-Revenues &amp; Expenses'!S36</f>
        <v>0</v>
      </c>
      <c r="T798" s="1978">
        <f>'Part VI-Revenues &amp; Expenses'!T36</f>
        <v>0</v>
      </c>
      <c r="U798" s="1979">
        <f>'Part VI-Revenues &amp; Expenses'!U36:V36</f>
        <v>0</v>
      </c>
      <c r="V798" s="1979"/>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980" t="str">
        <f t="shared" si="202"/>
        <v/>
      </c>
      <c r="HZ798" s="1980" t="str">
        <f t="shared" si="203"/>
        <v/>
      </c>
      <c r="IA798" s="1980" t="str">
        <f t="shared" si="204"/>
        <v/>
      </c>
      <c r="IB798" s="1980" t="str">
        <f t="shared" si="205"/>
        <v/>
      </c>
      <c r="IC798" s="1980" t="str">
        <f t="shared" si="206"/>
        <v/>
      </c>
      <c r="ID798" s="1980" t="str">
        <f t="shared" si="207"/>
        <v/>
      </c>
      <c r="IE798" s="1980" t="str">
        <f t="shared" si="208"/>
        <v/>
      </c>
      <c r="IF798" s="1980" t="str">
        <f t="shared" si="209"/>
        <v/>
      </c>
      <c r="IG798" s="1980" t="str">
        <f t="shared" si="210"/>
        <v/>
      </c>
      <c r="IH798" s="1980" t="str">
        <f t="shared" si="211"/>
        <v/>
      </c>
      <c r="II798" s="1980" t="str">
        <f t="shared" si="212"/>
        <v/>
      </c>
      <c r="IJ798" s="1980" t="str">
        <f t="shared" si="213"/>
        <v/>
      </c>
      <c r="IK798" s="1980" t="str">
        <f t="shared" si="214"/>
        <v/>
      </c>
      <c r="IL798" s="1980" t="str">
        <f t="shared" si="215"/>
        <v/>
      </c>
      <c r="IM798" s="1980" t="str">
        <f t="shared" si="216"/>
        <v/>
      </c>
      <c r="IN798" s="1980" t="str">
        <f t="shared" si="217"/>
        <v/>
      </c>
      <c r="IO798" s="1980" t="str">
        <f t="shared" si="218"/>
        <v/>
      </c>
      <c r="IP798" s="1980" t="str">
        <f t="shared" si="219"/>
        <v/>
      </c>
      <c r="IQ798" s="1980" t="str">
        <f t="shared" si="220"/>
        <v/>
      </c>
      <c r="IR798" s="1980" t="str">
        <f t="shared" si="221"/>
        <v/>
      </c>
      <c r="IS798" s="1980" t="str">
        <f t="shared" si="222"/>
        <v/>
      </c>
      <c r="IT798" s="1980" t="str">
        <f t="shared" si="223"/>
        <v/>
      </c>
      <c r="IU798" s="1980" t="str">
        <f t="shared" si="224"/>
        <v/>
      </c>
      <c r="IV798" s="1980" t="str">
        <f t="shared" si="225"/>
        <v/>
      </c>
      <c r="IW798" s="1980" t="str">
        <f t="shared" si="226"/>
        <v/>
      </c>
      <c r="IX798" s="1980" t="str">
        <f t="shared" si="227"/>
        <v/>
      </c>
      <c r="IY798" s="1980" t="str">
        <f t="shared" si="228"/>
        <v/>
      </c>
      <c r="IZ798" s="1980" t="str">
        <f t="shared" si="229"/>
        <v/>
      </c>
      <c r="JA798" s="1980" t="str">
        <f t="shared" si="230"/>
        <v/>
      </c>
      <c r="JB798" s="1980" t="str">
        <f t="shared" si="231"/>
        <v/>
      </c>
      <c r="JC798" s="1980" t="str">
        <f t="shared" si="232"/>
        <v/>
      </c>
      <c r="JD798" s="1980" t="str">
        <f t="shared" si="233"/>
        <v/>
      </c>
      <c r="JE798" s="1980" t="str">
        <f t="shared" si="234"/>
        <v/>
      </c>
      <c r="JF798" s="1980" t="str">
        <f t="shared" si="235"/>
        <v/>
      </c>
      <c r="JG798" s="1980" t="str">
        <f t="shared" si="236"/>
        <v/>
      </c>
      <c r="JH798" s="1980" t="str">
        <f t="shared" si="237"/>
        <v/>
      </c>
      <c r="JI798" s="1980" t="str">
        <f t="shared" si="238"/>
        <v/>
      </c>
      <c r="JJ798" s="1980" t="str">
        <f t="shared" si="239"/>
        <v/>
      </c>
      <c r="JK798" s="1980" t="str">
        <f t="shared" si="240"/>
        <v/>
      </c>
      <c r="JL798" s="1980" t="str">
        <f t="shared" si="241"/>
        <v/>
      </c>
      <c r="JM798" s="1980" t="str">
        <f t="shared" si="242"/>
        <v/>
      </c>
      <c r="JN798" s="1980" t="str">
        <f t="shared" si="243"/>
        <v/>
      </c>
      <c r="JO798" s="1980" t="str">
        <f t="shared" si="244"/>
        <v/>
      </c>
      <c r="JP798" s="1980" t="str">
        <f t="shared" si="245"/>
        <v/>
      </c>
      <c r="JQ798" s="1980" t="str">
        <f t="shared" si="246"/>
        <v/>
      </c>
      <c r="JR798" s="1980" t="str">
        <f t="shared" si="247"/>
        <v/>
      </c>
      <c r="JS798" s="1980" t="str">
        <f t="shared" si="248"/>
        <v/>
      </c>
      <c r="JT798" s="1980" t="str">
        <f t="shared" si="249"/>
        <v/>
      </c>
      <c r="JU798" s="1980" t="str">
        <f t="shared" si="250"/>
        <v/>
      </c>
      <c r="JV798" s="1980" t="str">
        <f t="shared" si="251"/>
        <v/>
      </c>
      <c r="JW798" s="1980" t="str">
        <f t="shared" si="252"/>
        <v/>
      </c>
      <c r="JX798" s="1980" t="str">
        <f t="shared" si="253"/>
        <v/>
      </c>
      <c r="JY798" s="1980" t="str">
        <f t="shared" si="254"/>
        <v/>
      </c>
      <c r="JZ798" s="1980" t="str">
        <f t="shared" si="255"/>
        <v/>
      </c>
      <c r="KA798" s="1980" t="str">
        <f t="shared" si="256"/>
        <v/>
      </c>
      <c r="KB798" s="1980" t="str">
        <f t="shared" si="257"/>
        <v/>
      </c>
      <c r="KC798" s="1980" t="str">
        <f t="shared" si="258"/>
        <v/>
      </c>
      <c r="KD798" s="1980" t="str">
        <f t="shared" si="259"/>
        <v/>
      </c>
      <c r="KE798" s="1980" t="str">
        <f t="shared" si="260"/>
        <v/>
      </c>
      <c r="KF798" s="1980" t="str">
        <f t="shared" si="261"/>
        <v/>
      </c>
      <c r="KG798" s="1980" t="str">
        <f t="shared" si="262"/>
        <v/>
      </c>
      <c r="KH798" s="1980" t="str">
        <f t="shared" si="263"/>
        <v/>
      </c>
      <c r="KI798" s="1980" t="str">
        <f t="shared" si="264"/>
        <v/>
      </c>
      <c r="KJ798" s="1980" t="str">
        <f t="shared" si="265"/>
        <v/>
      </c>
      <c r="KK798" s="1980" t="str">
        <f t="shared" si="266"/>
        <v/>
      </c>
      <c r="KL798" s="1980" t="str">
        <f t="shared" si="267"/>
        <v/>
      </c>
      <c r="KM798" s="1980" t="str">
        <f t="shared" si="268"/>
        <v/>
      </c>
      <c r="KN798" s="1980" t="str">
        <f t="shared" si="269"/>
        <v/>
      </c>
      <c r="KO798" s="1980" t="str">
        <f t="shared" si="270"/>
        <v/>
      </c>
      <c r="KP798" s="1980" t="str">
        <f t="shared" si="271"/>
        <v/>
      </c>
      <c r="KQ798" s="1980" t="str">
        <f t="shared" si="272"/>
        <v/>
      </c>
      <c r="KR798" s="1980" t="str">
        <f t="shared" si="273"/>
        <v/>
      </c>
      <c r="KS798" s="1980" t="str">
        <f t="shared" si="274"/>
        <v/>
      </c>
      <c r="KT798" s="1980" t="str">
        <f t="shared" si="275"/>
        <v/>
      </c>
      <c r="KU798" s="1980" t="str">
        <f t="shared" si="276"/>
        <v/>
      </c>
      <c r="KV798" s="1980" t="str">
        <f t="shared" si="277"/>
        <v/>
      </c>
      <c r="KW798" s="1980" t="str">
        <f t="shared" si="278"/>
        <v/>
      </c>
      <c r="KX798" s="1980" t="str">
        <f t="shared" si="279"/>
        <v/>
      </c>
      <c r="KY798" s="1980" t="str">
        <f t="shared" si="280"/>
        <v/>
      </c>
      <c r="KZ798" s="1980" t="str">
        <f t="shared" si="281"/>
        <v/>
      </c>
      <c r="LA798" s="1980" t="str">
        <f t="shared" si="282"/>
        <v/>
      </c>
      <c r="LB798" s="1980" t="str">
        <f t="shared" si="283"/>
        <v/>
      </c>
      <c r="LC798" s="1980" t="str">
        <f t="shared" si="284"/>
        <v/>
      </c>
      <c r="LD798" s="1980" t="str">
        <f t="shared" si="285"/>
        <v/>
      </c>
      <c r="LE798" s="1980" t="str">
        <f t="shared" si="286"/>
        <v/>
      </c>
      <c r="LF798" s="1953" t="str">
        <f t="shared" si="287"/>
        <v/>
      </c>
      <c r="LG798" s="1953" t="str">
        <f t="shared" si="288"/>
        <v/>
      </c>
      <c r="LH798" s="1953" t="str">
        <f t="shared" si="289"/>
        <v/>
      </c>
      <c r="LI798" s="1953" t="str">
        <f t="shared" si="290"/>
        <v/>
      </c>
      <c r="LJ798" s="1953"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953">
        <f t="shared" si="323"/>
        <v>0</v>
      </c>
      <c r="MF798" s="1953">
        <f t="shared" si="324"/>
        <v>0</v>
      </c>
      <c r="MG798" s="1953">
        <f t="shared" si="325"/>
        <v>0</v>
      </c>
      <c r="MH798" s="1953">
        <f t="shared" si="326"/>
        <v>0</v>
      </c>
      <c r="MI798" s="1953">
        <f t="shared" si="327"/>
        <v>0</v>
      </c>
      <c r="MJ798" s="1953">
        <f t="shared" si="328"/>
        <v>0</v>
      </c>
      <c r="MK798" s="1953">
        <f t="shared" si="329"/>
        <v>0</v>
      </c>
      <c r="ML798" s="1953">
        <f t="shared" si="330"/>
        <v>0</v>
      </c>
      <c r="MM798" s="1953">
        <f t="shared" si="331"/>
        <v>0</v>
      </c>
      <c r="MN798" s="1953">
        <f t="shared" si="332"/>
        <v>0</v>
      </c>
      <c r="MO798" s="1953">
        <f t="shared" si="333"/>
        <v>0</v>
      </c>
      <c r="MP798" s="1953">
        <f t="shared" si="334"/>
        <v>0</v>
      </c>
      <c r="MQ798" s="1953">
        <f t="shared" si="335"/>
        <v>0</v>
      </c>
      <c r="MR798" s="1953">
        <f t="shared" si="336"/>
        <v>0</v>
      </c>
      <c r="MS798" s="1953">
        <f t="shared" si="337"/>
        <v>0</v>
      </c>
    </row>
    <row r="799" spans="1:357">
      <c r="A799" s="1955" t="str">
        <f t="shared" si="0"/>
        <v/>
      </c>
      <c r="B799" s="1971">
        <f>'Part VI-Revenues &amp; Expenses'!B37</f>
        <v>0</v>
      </c>
      <c r="C799" s="1972">
        <f>'Part VI-Revenues &amp; Expenses'!C37</f>
        <v>0</v>
      </c>
      <c r="D799" s="1973">
        <f>'Part VI-Revenues &amp; Expenses'!D37</f>
        <v>0</v>
      </c>
      <c r="E799" s="1974">
        <f>'Part VI-Revenues &amp; Expenses'!E37</f>
        <v>0</v>
      </c>
      <c r="F799" s="1974">
        <f>'Part VI-Revenues &amp; Expenses'!F37</f>
        <v>0</v>
      </c>
      <c r="G799" s="1974">
        <f>'Part VI-Revenues &amp; Expenses'!G37</f>
        <v>0</v>
      </c>
      <c r="H799" s="1974">
        <f>'Part VI-Revenues &amp; Expenses'!H37</f>
        <v>0</v>
      </c>
      <c r="I799" s="1974">
        <f>'Part VI-Revenues &amp; Expenses'!I37</f>
        <v>0</v>
      </c>
      <c r="J799" s="1975">
        <f>'Part VI-Revenues &amp; Expenses'!J37</f>
        <v>0</v>
      </c>
      <c r="K799" s="1976">
        <f t="shared" si="1"/>
        <v>0</v>
      </c>
      <c r="L799" s="1976">
        <f t="shared" si="2"/>
        <v>0</v>
      </c>
      <c r="M799" s="1834">
        <f>'Part VI-Revenues &amp; Expenses'!M37</f>
        <v>0</v>
      </c>
      <c r="N799" s="1834">
        <f>'Part VI-Revenues &amp; Expenses'!N37</f>
        <v>0</v>
      </c>
      <c r="O799" s="1834">
        <f>'Part VI-Revenues &amp; Expenses'!O37</f>
        <v>0</v>
      </c>
      <c r="P799" s="1958">
        <f>'Part VI-Revenues &amp; Expenses'!P37</f>
        <v>0</v>
      </c>
      <c r="Q799" s="1977" t="str">
        <f>'Part VI-Revenues &amp; Expenses'!Q37</f>
        <v/>
      </c>
      <c r="R799" s="1978" t="str">
        <f>'Part VI-Revenues &amp; Expenses'!R37</f>
        <v/>
      </c>
      <c r="S799" s="1977">
        <f>'Part VI-Revenues &amp; Expenses'!S37</f>
        <v>0</v>
      </c>
      <c r="T799" s="1978">
        <f>'Part VI-Revenues &amp; Expenses'!T37</f>
        <v>0</v>
      </c>
      <c r="U799" s="1979">
        <f>'Part VI-Revenues &amp; Expenses'!U37:V37</f>
        <v>0</v>
      </c>
      <c r="V799" s="1979"/>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980" t="str">
        <f t="shared" si="202"/>
        <v/>
      </c>
      <c r="HZ799" s="1980" t="str">
        <f t="shared" si="203"/>
        <v/>
      </c>
      <c r="IA799" s="1980" t="str">
        <f t="shared" si="204"/>
        <v/>
      </c>
      <c r="IB799" s="1980" t="str">
        <f t="shared" si="205"/>
        <v/>
      </c>
      <c r="IC799" s="1980" t="str">
        <f t="shared" si="206"/>
        <v/>
      </c>
      <c r="ID799" s="1980" t="str">
        <f t="shared" si="207"/>
        <v/>
      </c>
      <c r="IE799" s="1980" t="str">
        <f t="shared" si="208"/>
        <v/>
      </c>
      <c r="IF799" s="1980" t="str">
        <f t="shared" si="209"/>
        <v/>
      </c>
      <c r="IG799" s="1980" t="str">
        <f t="shared" si="210"/>
        <v/>
      </c>
      <c r="IH799" s="1980" t="str">
        <f t="shared" si="211"/>
        <v/>
      </c>
      <c r="II799" s="1980" t="str">
        <f t="shared" si="212"/>
        <v/>
      </c>
      <c r="IJ799" s="1980" t="str">
        <f t="shared" si="213"/>
        <v/>
      </c>
      <c r="IK799" s="1980" t="str">
        <f t="shared" si="214"/>
        <v/>
      </c>
      <c r="IL799" s="1980" t="str">
        <f t="shared" si="215"/>
        <v/>
      </c>
      <c r="IM799" s="1980" t="str">
        <f t="shared" si="216"/>
        <v/>
      </c>
      <c r="IN799" s="1980" t="str">
        <f t="shared" si="217"/>
        <v/>
      </c>
      <c r="IO799" s="1980" t="str">
        <f t="shared" si="218"/>
        <v/>
      </c>
      <c r="IP799" s="1980" t="str">
        <f t="shared" si="219"/>
        <v/>
      </c>
      <c r="IQ799" s="1980" t="str">
        <f t="shared" si="220"/>
        <v/>
      </c>
      <c r="IR799" s="1980" t="str">
        <f t="shared" si="221"/>
        <v/>
      </c>
      <c r="IS799" s="1980" t="str">
        <f t="shared" si="222"/>
        <v/>
      </c>
      <c r="IT799" s="1980" t="str">
        <f t="shared" si="223"/>
        <v/>
      </c>
      <c r="IU799" s="1980" t="str">
        <f t="shared" si="224"/>
        <v/>
      </c>
      <c r="IV799" s="1980" t="str">
        <f t="shared" si="225"/>
        <v/>
      </c>
      <c r="IW799" s="1980" t="str">
        <f t="shared" si="226"/>
        <v/>
      </c>
      <c r="IX799" s="1980" t="str">
        <f t="shared" si="227"/>
        <v/>
      </c>
      <c r="IY799" s="1980" t="str">
        <f t="shared" si="228"/>
        <v/>
      </c>
      <c r="IZ799" s="1980" t="str">
        <f t="shared" si="229"/>
        <v/>
      </c>
      <c r="JA799" s="1980" t="str">
        <f t="shared" si="230"/>
        <v/>
      </c>
      <c r="JB799" s="1980" t="str">
        <f t="shared" si="231"/>
        <v/>
      </c>
      <c r="JC799" s="1980" t="str">
        <f t="shared" si="232"/>
        <v/>
      </c>
      <c r="JD799" s="1980" t="str">
        <f t="shared" si="233"/>
        <v/>
      </c>
      <c r="JE799" s="1980" t="str">
        <f t="shared" si="234"/>
        <v/>
      </c>
      <c r="JF799" s="1980" t="str">
        <f t="shared" si="235"/>
        <v/>
      </c>
      <c r="JG799" s="1980" t="str">
        <f t="shared" si="236"/>
        <v/>
      </c>
      <c r="JH799" s="1980" t="str">
        <f t="shared" si="237"/>
        <v/>
      </c>
      <c r="JI799" s="1980" t="str">
        <f t="shared" si="238"/>
        <v/>
      </c>
      <c r="JJ799" s="1980" t="str">
        <f t="shared" si="239"/>
        <v/>
      </c>
      <c r="JK799" s="1980" t="str">
        <f t="shared" si="240"/>
        <v/>
      </c>
      <c r="JL799" s="1980" t="str">
        <f t="shared" si="241"/>
        <v/>
      </c>
      <c r="JM799" s="1980" t="str">
        <f t="shared" si="242"/>
        <v/>
      </c>
      <c r="JN799" s="1980" t="str">
        <f t="shared" si="243"/>
        <v/>
      </c>
      <c r="JO799" s="1980" t="str">
        <f t="shared" si="244"/>
        <v/>
      </c>
      <c r="JP799" s="1980" t="str">
        <f t="shared" si="245"/>
        <v/>
      </c>
      <c r="JQ799" s="1980" t="str">
        <f t="shared" si="246"/>
        <v/>
      </c>
      <c r="JR799" s="1980" t="str">
        <f t="shared" si="247"/>
        <v/>
      </c>
      <c r="JS799" s="1980" t="str">
        <f t="shared" si="248"/>
        <v/>
      </c>
      <c r="JT799" s="1980" t="str">
        <f t="shared" si="249"/>
        <v/>
      </c>
      <c r="JU799" s="1980" t="str">
        <f t="shared" si="250"/>
        <v/>
      </c>
      <c r="JV799" s="1980" t="str">
        <f t="shared" si="251"/>
        <v/>
      </c>
      <c r="JW799" s="1980" t="str">
        <f t="shared" si="252"/>
        <v/>
      </c>
      <c r="JX799" s="1980" t="str">
        <f t="shared" si="253"/>
        <v/>
      </c>
      <c r="JY799" s="1980" t="str">
        <f t="shared" si="254"/>
        <v/>
      </c>
      <c r="JZ799" s="1980" t="str">
        <f t="shared" si="255"/>
        <v/>
      </c>
      <c r="KA799" s="1980" t="str">
        <f t="shared" si="256"/>
        <v/>
      </c>
      <c r="KB799" s="1980" t="str">
        <f t="shared" si="257"/>
        <v/>
      </c>
      <c r="KC799" s="1980" t="str">
        <f t="shared" si="258"/>
        <v/>
      </c>
      <c r="KD799" s="1980" t="str">
        <f t="shared" si="259"/>
        <v/>
      </c>
      <c r="KE799" s="1980" t="str">
        <f t="shared" si="260"/>
        <v/>
      </c>
      <c r="KF799" s="1980" t="str">
        <f t="shared" si="261"/>
        <v/>
      </c>
      <c r="KG799" s="1980" t="str">
        <f t="shared" si="262"/>
        <v/>
      </c>
      <c r="KH799" s="1980" t="str">
        <f t="shared" si="263"/>
        <v/>
      </c>
      <c r="KI799" s="1980" t="str">
        <f t="shared" si="264"/>
        <v/>
      </c>
      <c r="KJ799" s="1980" t="str">
        <f t="shared" si="265"/>
        <v/>
      </c>
      <c r="KK799" s="1980" t="str">
        <f t="shared" si="266"/>
        <v/>
      </c>
      <c r="KL799" s="1980" t="str">
        <f t="shared" si="267"/>
        <v/>
      </c>
      <c r="KM799" s="1980" t="str">
        <f t="shared" si="268"/>
        <v/>
      </c>
      <c r="KN799" s="1980" t="str">
        <f t="shared" si="269"/>
        <v/>
      </c>
      <c r="KO799" s="1980" t="str">
        <f t="shared" si="270"/>
        <v/>
      </c>
      <c r="KP799" s="1980" t="str">
        <f t="shared" si="271"/>
        <v/>
      </c>
      <c r="KQ799" s="1980" t="str">
        <f t="shared" si="272"/>
        <v/>
      </c>
      <c r="KR799" s="1980" t="str">
        <f t="shared" si="273"/>
        <v/>
      </c>
      <c r="KS799" s="1980" t="str">
        <f t="shared" si="274"/>
        <v/>
      </c>
      <c r="KT799" s="1980" t="str">
        <f t="shared" si="275"/>
        <v/>
      </c>
      <c r="KU799" s="1980" t="str">
        <f t="shared" si="276"/>
        <v/>
      </c>
      <c r="KV799" s="1980" t="str">
        <f t="shared" si="277"/>
        <v/>
      </c>
      <c r="KW799" s="1980" t="str">
        <f t="shared" si="278"/>
        <v/>
      </c>
      <c r="KX799" s="1980" t="str">
        <f t="shared" si="279"/>
        <v/>
      </c>
      <c r="KY799" s="1980" t="str">
        <f t="shared" si="280"/>
        <v/>
      </c>
      <c r="KZ799" s="1980" t="str">
        <f t="shared" si="281"/>
        <v/>
      </c>
      <c r="LA799" s="1980" t="str">
        <f t="shared" si="282"/>
        <v/>
      </c>
      <c r="LB799" s="1980" t="str">
        <f t="shared" si="283"/>
        <v/>
      </c>
      <c r="LC799" s="1980" t="str">
        <f t="shared" si="284"/>
        <v/>
      </c>
      <c r="LD799" s="1980" t="str">
        <f t="shared" si="285"/>
        <v/>
      </c>
      <c r="LE799" s="1980" t="str">
        <f t="shared" si="286"/>
        <v/>
      </c>
      <c r="LF799" s="1953" t="str">
        <f t="shared" si="287"/>
        <v/>
      </c>
      <c r="LG799" s="1953" t="str">
        <f t="shared" si="288"/>
        <v/>
      </c>
      <c r="LH799" s="1953" t="str">
        <f t="shared" si="289"/>
        <v/>
      </c>
      <c r="LI799" s="1953" t="str">
        <f t="shared" si="290"/>
        <v/>
      </c>
      <c r="LJ799" s="1953"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953">
        <f t="shared" si="323"/>
        <v>0</v>
      </c>
      <c r="MF799" s="1953">
        <f t="shared" si="324"/>
        <v>0</v>
      </c>
      <c r="MG799" s="1953">
        <f t="shared" si="325"/>
        <v>0</v>
      </c>
      <c r="MH799" s="1953">
        <f t="shared" si="326"/>
        <v>0</v>
      </c>
      <c r="MI799" s="1953">
        <f t="shared" si="327"/>
        <v>0</v>
      </c>
      <c r="MJ799" s="1953">
        <f t="shared" si="328"/>
        <v>0</v>
      </c>
      <c r="MK799" s="1953">
        <f t="shared" si="329"/>
        <v>0</v>
      </c>
      <c r="ML799" s="1953">
        <f t="shared" si="330"/>
        <v>0</v>
      </c>
      <c r="MM799" s="1953">
        <f t="shared" si="331"/>
        <v>0</v>
      </c>
      <c r="MN799" s="1953">
        <f t="shared" si="332"/>
        <v>0</v>
      </c>
      <c r="MO799" s="1953">
        <f t="shared" si="333"/>
        <v>0</v>
      </c>
      <c r="MP799" s="1953">
        <f t="shared" si="334"/>
        <v>0</v>
      </c>
      <c r="MQ799" s="1953">
        <f t="shared" si="335"/>
        <v>0</v>
      </c>
      <c r="MR799" s="1953">
        <f t="shared" si="336"/>
        <v>0</v>
      </c>
      <c r="MS799" s="1953">
        <f t="shared" si="337"/>
        <v>0</v>
      </c>
    </row>
    <row r="800" spans="1:357">
      <c r="A800" s="1955" t="str">
        <f t="shared" si="0"/>
        <v/>
      </c>
      <c r="B800" s="1971">
        <f>'Part VI-Revenues &amp; Expenses'!B38</f>
        <v>0</v>
      </c>
      <c r="C800" s="1972">
        <f>'Part VI-Revenues &amp; Expenses'!C38</f>
        <v>0</v>
      </c>
      <c r="D800" s="1973">
        <f>'Part VI-Revenues &amp; Expenses'!D38</f>
        <v>0</v>
      </c>
      <c r="E800" s="1974">
        <f>'Part VI-Revenues &amp; Expenses'!E38</f>
        <v>0</v>
      </c>
      <c r="F800" s="1974">
        <f>'Part VI-Revenues &amp; Expenses'!F38</f>
        <v>0</v>
      </c>
      <c r="G800" s="1974">
        <f>'Part VI-Revenues &amp; Expenses'!G38</f>
        <v>0</v>
      </c>
      <c r="H800" s="1974">
        <f>'Part VI-Revenues &amp; Expenses'!H38</f>
        <v>0</v>
      </c>
      <c r="I800" s="1974">
        <f>'Part VI-Revenues &amp; Expenses'!I38</f>
        <v>0</v>
      </c>
      <c r="J800" s="1975">
        <f>'Part VI-Revenues &amp; Expenses'!J38</f>
        <v>0</v>
      </c>
      <c r="K800" s="1976">
        <f t="shared" si="1"/>
        <v>0</v>
      </c>
      <c r="L800" s="1976">
        <f t="shared" si="2"/>
        <v>0</v>
      </c>
      <c r="M800" s="1834">
        <f>'Part VI-Revenues &amp; Expenses'!M38</f>
        <v>0</v>
      </c>
      <c r="N800" s="1834">
        <f>'Part VI-Revenues &amp; Expenses'!N38</f>
        <v>0</v>
      </c>
      <c r="O800" s="1834">
        <f>'Part VI-Revenues &amp; Expenses'!O38</f>
        <v>0</v>
      </c>
      <c r="P800" s="1958">
        <f>'Part VI-Revenues &amp; Expenses'!P38</f>
        <v>0</v>
      </c>
      <c r="Q800" s="1977" t="str">
        <f>'Part VI-Revenues &amp; Expenses'!Q38</f>
        <v/>
      </c>
      <c r="R800" s="1978" t="str">
        <f>'Part VI-Revenues &amp; Expenses'!R38</f>
        <v/>
      </c>
      <c r="S800" s="1977">
        <f>'Part VI-Revenues &amp; Expenses'!S38</f>
        <v>0</v>
      </c>
      <c r="T800" s="1978">
        <f>'Part VI-Revenues &amp; Expenses'!T38</f>
        <v>0</v>
      </c>
      <c r="U800" s="1979">
        <f>'Part VI-Revenues &amp; Expenses'!U38:V38</f>
        <v>0</v>
      </c>
      <c r="V800" s="1979"/>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980" t="str">
        <f t="shared" si="202"/>
        <v/>
      </c>
      <c r="HZ800" s="1980" t="str">
        <f t="shared" si="203"/>
        <v/>
      </c>
      <c r="IA800" s="1980" t="str">
        <f t="shared" si="204"/>
        <v/>
      </c>
      <c r="IB800" s="1980" t="str">
        <f t="shared" si="205"/>
        <v/>
      </c>
      <c r="IC800" s="1980" t="str">
        <f t="shared" si="206"/>
        <v/>
      </c>
      <c r="ID800" s="1980" t="str">
        <f t="shared" si="207"/>
        <v/>
      </c>
      <c r="IE800" s="1980" t="str">
        <f t="shared" si="208"/>
        <v/>
      </c>
      <c r="IF800" s="1980" t="str">
        <f t="shared" si="209"/>
        <v/>
      </c>
      <c r="IG800" s="1980" t="str">
        <f t="shared" si="210"/>
        <v/>
      </c>
      <c r="IH800" s="1980" t="str">
        <f t="shared" si="211"/>
        <v/>
      </c>
      <c r="II800" s="1980" t="str">
        <f t="shared" si="212"/>
        <v/>
      </c>
      <c r="IJ800" s="1980" t="str">
        <f t="shared" si="213"/>
        <v/>
      </c>
      <c r="IK800" s="1980" t="str">
        <f t="shared" si="214"/>
        <v/>
      </c>
      <c r="IL800" s="1980" t="str">
        <f t="shared" si="215"/>
        <v/>
      </c>
      <c r="IM800" s="1980" t="str">
        <f t="shared" si="216"/>
        <v/>
      </c>
      <c r="IN800" s="1980" t="str">
        <f t="shared" si="217"/>
        <v/>
      </c>
      <c r="IO800" s="1980" t="str">
        <f t="shared" si="218"/>
        <v/>
      </c>
      <c r="IP800" s="1980" t="str">
        <f t="shared" si="219"/>
        <v/>
      </c>
      <c r="IQ800" s="1980" t="str">
        <f t="shared" si="220"/>
        <v/>
      </c>
      <c r="IR800" s="1980" t="str">
        <f t="shared" si="221"/>
        <v/>
      </c>
      <c r="IS800" s="1980" t="str">
        <f t="shared" si="222"/>
        <v/>
      </c>
      <c r="IT800" s="1980" t="str">
        <f t="shared" si="223"/>
        <v/>
      </c>
      <c r="IU800" s="1980" t="str">
        <f t="shared" si="224"/>
        <v/>
      </c>
      <c r="IV800" s="1980" t="str">
        <f t="shared" si="225"/>
        <v/>
      </c>
      <c r="IW800" s="1980" t="str">
        <f t="shared" si="226"/>
        <v/>
      </c>
      <c r="IX800" s="1980" t="str">
        <f t="shared" si="227"/>
        <v/>
      </c>
      <c r="IY800" s="1980" t="str">
        <f t="shared" si="228"/>
        <v/>
      </c>
      <c r="IZ800" s="1980" t="str">
        <f t="shared" si="229"/>
        <v/>
      </c>
      <c r="JA800" s="1980" t="str">
        <f t="shared" si="230"/>
        <v/>
      </c>
      <c r="JB800" s="1980" t="str">
        <f t="shared" si="231"/>
        <v/>
      </c>
      <c r="JC800" s="1980" t="str">
        <f t="shared" si="232"/>
        <v/>
      </c>
      <c r="JD800" s="1980" t="str">
        <f t="shared" si="233"/>
        <v/>
      </c>
      <c r="JE800" s="1980" t="str">
        <f t="shared" si="234"/>
        <v/>
      </c>
      <c r="JF800" s="1980" t="str">
        <f t="shared" si="235"/>
        <v/>
      </c>
      <c r="JG800" s="1980" t="str">
        <f t="shared" si="236"/>
        <v/>
      </c>
      <c r="JH800" s="1980" t="str">
        <f t="shared" si="237"/>
        <v/>
      </c>
      <c r="JI800" s="1980" t="str">
        <f t="shared" si="238"/>
        <v/>
      </c>
      <c r="JJ800" s="1980" t="str">
        <f t="shared" si="239"/>
        <v/>
      </c>
      <c r="JK800" s="1980" t="str">
        <f t="shared" si="240"/>
        <v/>
      </c>
      <c r="JL800" s="1980" t="str">
        <f t="shared" si="241"/>
        <v/>
      </c>
      <c r="JM800" s="1980" t="str">
        <f t="shared" si="242"/>
        <v/>
      </c>
      <c r="JN800" s="1980" t="str">
        <f t="shared" si="243"/>
        <v/>
      </c>
      <c r="JO800" s="1980" t="str">
        <f t="shared" si="244"/>
        <v/>
      </c>
      <c r="JP800" s="1980" t="str">
        <f t="shared" si="245"/>
        <v/>
      </c>
      <c r="JQ800" s="1980" t="str">
        <f t="shared" si="246"/>
        <v/>
      </c>
      <c r="JR800" s="1980" t="str">
        <f t="shared" si="247"/>
        <v/>
      </c>
      <c r="JS800" s="1980" t="str">
        <f t="shared" si="248"/>
        <v/>
      </c>
      <c r="JT800" s="1980" t="str">
        <f t="shared" si="249"/>
        <v/>
      </c>
      <c r="JU800" s="1980" t="str">
        <f t="shared" si="250"/>
        <v/>
      </c>
      <c r="JV800" s="1980" t="str">
        <f t="shared" si="251"/>
        <v/>
      </c>
      <c r="JW800" s="1980" t="str">
        <f t="shared" si="252"/>
        <v/>
      </c>
      <c r="JX800" s="1980" t="str">
        <f t="shared" si="253"/>
        <v/>
      </c>
      <c r="JY800" s="1980" t="str">
        <f t="shared" si="254"/>
        <v/>
      </c>
      <c r="JZ800" s="1980" t="str">
        <f t="shared" si="255"/>
        <v/>
      </c>
      <c r="KA800" s="1980" t="str">
        <f t="shared" si="256"/>
        <v/>
      </c>
      <c r="KB800" s="1980" t="str">
        <f t="shared" si="257"/>
        <v/>
      </c>
      <c r="KC800" s="1980" t="str">
        <f t="shared" si="258"/>
        <v/>
      </c>
      <c r="KD800" s="1980" t="str">
        <f t="shared" si="259"/>
        <v/>
      </c>
      <c r="KE800" s="1980" t="str">
        <f t="shared" si="260"/>
        <v/>
      </c>
      <c r="KF800" s="1980" t="str">
        <f t="shared" si="261"/>
        <v/>
      </c>
      <c r="KG800" s="1980" t="str">
        <f t="shared" si="262"/>
        <v/>
      </c>
      <c r="KH800" s="1980" t="str">
        <f t="shared" si="263"/>
        <v/>
      </c>
      <c r="KI800" s="1980" t="str">
        <f t="shared" si="264"/>
        <v/>
      </c>
      <c r="KJ800" s="1980" t="str">
        <f t="shared" si="265"/>
        <v/>
      </c>
      <c r="KK800" s="1980" t="str">
        <f t="shared" si="266"/>
        <v/>
      </c>
      <c r="KL800" s="1980" t="str">
        <f t="shared" si="267"/>
        <v/>
      </c>
      <c r="KM800" s="1980" t="str">
        <f t="shared" si="268"/>
        <v/>
      </c>
      <c r="KN800" s="1980" t="str">
        <f t="shared" si="269"/>
        <v/>
      </c>
      <c r="KO800" s="1980" t="str">
        <f t="shared" si="270"/>
        <v/>
      </c>
      <c r="KP800" s="1980" t="str">
        <f t="shared" si="271"/>
        <v/>
      </c>
      <c r="KQ800" s="1980" t="str">
        <f t="shared" si="272"/>
        <v/>
      </c>
      <c r="KR800" s="1980" t="str">
        <f t="shared" si="273"/>
        <v/>
      </c>
      <c r="KS800" s="1980" t="str">
        <f t="shared" si="274"/>
        <v/>
      </c>
      <c r="KT800" s="1980" t="str">
        <f t="shared" si="275"/>
        <v/>
      </c>
      <c r="KU800" s="1980" t="str">
        <f t="shared" si="276"/>
        <v/>
      </c>
      <c r="KV800" s="1980" t="str">
        <f t="shared" si="277"/>
        <v/>
      </c>
      <c r="KW800" s="1980" t="str">
        <f t="shared" si="278"/>
        <v/>
      </c>
      <c r="KX800" s="1980" t="str">
        <f t="shared" si="279"/>
        <v/>
      </c>
      <c r="KY800" s="1980" t="str">
        <f t="shared" si="280"/>
        <v/>
      </c>
      <c r="KZ800" s="1980" t="str">
        <f t="shared" si="281"/>
        <v/>
      </c>
      <c r="LA800" s="1980" t="str">
        <f t="shared" si="282"/>
        <v/>
      </c>
      <c r="LB800" s="1980" t="str">
        <f t="shared" si="283"/>
        <v/>
      </c>
      <c r="LC800" s="1980" t="str">
        <f t="shared" si="284"/>
        <v/>
      </c>
      <c r="LD800" s="1980" t="str">
        <f t="shared" si="285"/>
        <v/>
      </c>
      <c r="LE800" s="1980" t="str">
        <f t="shared" si="286"/>
        <v/>
      </c>
      <c r="LF800" s="1953" t="str">
        <f t="shared" si="287"/>
        <v/>
      </c>
      <c r="LG800" s="1953" t="str">
        <f t="shared" si="288"/>
        <v/>
      </c>
      <c r="LH800" s="1953" t="str">
        <f t="shared" si="289"/>
        <v/>
      </c>
      <c r="LI800" s="1953" t="str">
        <f t="shared" si="290"/>
        <v/>
      </c>
      <c r="LJ800" s="1953"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953">
        <f t="shared" si="323"/>
        <v>0</v>
      </c>
      <c r="MF800" s="1953">
        <f t="shared" si="324"/>
        <v>0</v>
      </c>
      <c r="MG800" s="1953">
        <f t="shared" si="325"/>
        <v>0</v>
      </c>
      <c r="MH800" s="1953">
        <f t="shared" si="326"/>
        <v>0</v>
      </c>
      <c r="MI800" s="1953">
        <f t="shared" si="327"/>
        <v>0</v>
      </c>
      <c r="MJ800" s="1953">
        <f t="shared" si="328"/>
        <v>0</v>
      </c>
      <c r="MK800" s="1953">
        <f t="shared" si="329"/>
        <v>0</v>
      </c>
      <c r="ML800" s="1953">
        <f t="shared" si="330"/>
        <v>0</v>
      </c>
      <c r="MM800" s="1953">
        <f t="shared" si="331"/>
        <v>0</v>
      </c>
      <c r="MN800" s="1953">
        <f t="shared" si="332"/>
        <v>0</v>
      </c>
      <c r="MO800" s="1953">
        <f t="shared" si="333"/>
        <v>0</v>
      </c>
      <c r="MP800" s="1953">
        <f t="shared" si="334"/>
        <v>0</v>
      </c>
      <c r="MQ800" s="1953">
        <f t="shared" si="335"/>
        <v>0</v>
      </c>
      <c r="MR800" s="1953">
        <f t="shared" si="336"/>
        <v>0</v>
      </c>
      <c r="MS800" s="1953">
        <f t="shared" si="337"/>
        <v>0</v>
      </c>
    </row>
    <row r="801" spans="1:357">
      <c r="A801" s="1955" t="str">
        <f t="shared" si="0"/>
        <v/>
      </c>
      <c r="B801" s="1971">
        <f>'Part VI-Revenues &amp; Expenses'!B39</f>
        <v>0</v>
      </c>
      <c r="C801" s="1972">
        <f>'Part VI-Revenues &amp; Expenses'!C39</f>
        <v>0</v>
      </c>
      <c r="D801" s="1973">
        <f>'Part VI-Revenues &amp; Expenses'!D39</f>
        <v>0</v>
      </c>
      <c r="E801" s="1974">
        <f>'Part VI-Revenues &amp; Expenses'!E39</f>
        <v>0</v>
      </c>
      <c r="F801" s="1974">
        <f>'Part VI-Revenues &amp; Expenses'!F39</f>
        <v>0</v>
      </c>
      <c r="G801" s="1974">
        <f>'Part VI-Revenues &amp; Expenses'!G39</f>
        <v>0</v>
      </c>
      <c r="H801" s="1974">
        <f>'Part VI-Revenues &amp; Expenses'!H39</f>
        <v>0</v>
      </c>
      <c r="I801" s="1974">
        <f>'Part VI-Revenues &amp; Expenses'!I39</f>
        <v>0</v>
      </c>
      <c r="J801" s="1975">
        <f>'Part VI-Revenues &amp; Expenses'!J39</f>
        <v>0</v>
      </c>
      <c r="K801" s="1976">
        <f t="shared" si="1"/>
        <v>0</v>
      </c>
      <c r="L801" s="1976">
        <f t="shared" si="2"/>
        <v>0</v>
      </c>
      <c r="M801" s="1834">
        <f>'Part VI-Revenues &amp; Expenses'!M39</f>
        <v>0</v>
      </c>
      <c r="N801" s="1834">
        <f>'Part VI-Revenues &amp; Expenses'!N39</f>
        <v>0</v>
      </c>
      <c r="O801" s="1834">
        <f>'Part VI-Revenues &amp; Expenses'!O39</f>
        <v>0</v>
      </c>
      <c r="P801" s="1958">
        <f>'Part VI-Revenues &amp; Expenses'!P39</f>
        <v>0</v>
      </c>
      <c r="Q801" s="1977" t="str">
        <f>'Part VI-Revenues &amp; Expenses'!Q39</f>
        <v/>
      </c>
      <c r="R801" s="1978" t="str">
        <f>'Part VI-Revenues &amp; Expenses'!R39</f>
        <v/>
      </c>
      <c r="S801" s="1977">
        <f>'Part VI-Revenues &amp; Expenses'!S39</f>
        <v>0</v>
      </c>
      <c r="T801" s="1978">
        <f>'Part VI-Revenues &amp; Expenses'!T39</f>
        <v>0</v>
      </c>
      <c r="U801" s="1979">
        <f>'Part VI-Revenues &amp; Expenses'!U39:V39</f>
        <v>0</v>
      </c>
      <c r="V801" s="1979"/>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980" t="str">
        <f t="shared" si="202"/>
        <v/>
      </c>
      <c r="HZ801" s="1980" t="str">
        <f t="shared" si="203"/>
        <v/>
      </c>
      <c r="IA801" s="1980" t="str">
        <f t="shared" si="204"/>
        <v/>
      </c>
      <c r="IB801" s="1980" t="str">
        <f t="shared" si="205"/>
        <v/>
      </c>
      <c r="IC801" s="1980" t="str">
        <f t="shared" si="206"/>
        <v/>
      </c>
      <c r="ID801" s="1980" t="str">
        <f t="shared" si="207"/>
        <v/>
      </c>
      <c r="IE801" s="1980" t="str">
        <f t="shared" si="208"/>
        <v/>
      </c>
      <c r="IF801" s="1980" t="str">
        <f t="shared" si="209"/>
        <v/>
      </c>
      <c r="IG801" s="1980" t="str">
        <f t="shared" si="210"/>
        <v/>
      </c>
      <c r="IH801" s="1980" t="str">
        <f t="shared" si="211"/>
        <v/>
      </c>
      <c r="II801" s="1980" t="str">
        <f t="shared" si="212"/>
        <v/>
      </c>
      <c r="IJ801" s="1980" t="str">
        <f t="shared" si="213"/>
        <v/>
      </c>
      <c r="IK801" s="1980" t="str">
        <f t="shared" si="214"/>
        <v/>
      </c>
      <c r="IL801" s="1980" t="str">
        <f t="shared" si="215"/>
        <v/>
      </c>
      <c r="IM801" s="1980" t="str">
        <f t="shared" si="216"/>
        <v/>
      </c>
      <c r="IN801" s="1980" t="str">
        <f t="shared" si="217"/>
        <v/>
      </c>
      <c r="IO801" s="1980" t="str">
        <f t="shared" si="218"/>
        <v/>
      </c>
      <c r="IP801" s="1980" t="str">
        <f t="shared" si="219"/>
        <v/>
      </c>
      <c r="IQ801" s="1980" t="str">
        <f t="shared" si="220"/>
        <v/>
      </c>
      <c r="IR801" s="1980" t="str">
        <f t="shared" si="221"/>
        <v/>
      </c>
      <c r="IS801" s="1980" t="str">
        <f t="shared" si="222"/>
        <v/>
      </c>
      <c r="IT801" s="1980" t="str">
        <f t="shared" si="223"/>
        <v/>
      </c>
      <c r="IU801" s="1980" t="str">
        <f t="shared" si="224"/>
        <v/>
      </c>
      <c r="IV801" s="1980" t="str">
        <f t="shared" si="225"/>
        <v/>
      </c>
      <c r="IW801" s="1980" t="str">
        <f t="shared" si="226"/>
        <v/>
      </c>
      <c r="IX801" s="1980" t="str">
        <f t="shared" si="227"/>
        <v/>
      </c>
      <c r="IY801" s="1980" t="str">
        <f t="shared" si="228"/>
        <v/>
      </c>
      <c r="IZ801" s="1980" t="str">
        <f t="shared" si="229"/>
        <v/>
      </c>
      <c r="JA801" s="1980" t="str">
        <f t="shared" si="230"/>
        <v/>
      </c>
      <c r="JB801" s="1980" t="str">
        <f t="shared" si="231"/>
        <v/>
      </c>
      <c r="JC801" s="1980" t="str">
        <f t="shared" si="232"/>
        <v/>
      </c>
      <c r="JD801" s="1980" t="str">
        <f t="shared" si="233"/>
        <v/>
      </c>
      <c r="JE801" s="1980" t="str">
        <f t="shared" si="234"/>
        <v/>
      </c>
      <c r="JF801" s="1980" t="str">
        <f t="shared" si="235"/>
        <v/>
      </c>
      <c r="JG801" s="1980" t="str">
        <f t="shared" si="236"/>
        <v/>
      </c>
      <c r="JH801" s="1980" t="str">
        <f t="shared" si="237"/>
        <v/>
      </c>
      <c r="JI801" s="1980" t="str">
        <f t="shared" si="238"/>
        <v/>
      </c>
      <c r="JJ801" s="1980" t="str">
        <f t="shared" si="239"/>
        <v/>
      </c>
      <c r="JK801" s="1980" t="str">
        <f t="shared" si="240"/>
        <v/>
      </c>
      <c r="JL801" s="1980" t="str">
        <f t="shared" si="241"/>
        <v/>
      </c>
      <c r="JM801" s="1980" t="str">
        <f t="shared" si="242"/>
        <v/>
      </c>
      <c r="JN801" s="1980" t="str">
        <f t="shared" si="243"/>
        <v/>
      </c>
      <c r="JO801" s="1980" t="str">
        <f t="shared" si="244"/>
        <v/>
      </c>
      <c r="JP801" s="1980" t="str">
        <f t="shared" si="245"/>
        <v/>
      </c>
      <c r="JQ801" s="1980" t="str">
        <f t="shared" si="246"/>
        <v/>
      </c>
      <c r="JR801" s="1980" t="str">
        <f t="shared" si="247"/>
        <v/>
      </c>
      <c r="JS801" s="1980" t="str">
        <f t="shared" si="248"/>
        <v/>
      </c>
      <c r="JT801" s="1980" t="str">
        <f t="shared" si="249"/>
        <v/>
      </c>
      <c r="JU801" s="1980" t="str">
        <f t="shared" si="250"/>
        <v/>
      </c>
      <c r="JV801" s="1980" t="str">
        <f t="shared" si="251"/>
        <v/>
      </c>
      <c r="JW801" s="1980" t="str">
        <f t="shared" si="252"/>
        <v/>
      </c>
      <c r="JX801" s="1980" t="str">
        <f t="shared" si="253"/>
        <v/>
      </c>
      <c r="JY801" s="1980" t="str">
        <f t="shared" si="254"/>
        <v/>
      </c>
      <c r="JZ801" s="1980" t="str">
        <f t="shared" si="255"/>
        <v/>
      </c>
      <c r="KA801" s="1980" t="str">
        <f t="shared" si="256"/>
        <v/>
      </c>
      <c r="KB801" s="1980" t="str">
        <f t="shared" si="257"/>
        <v/>
      </c>
      <c r="KC801" s="1980" t="str">
        <f t="shared" si="258"/>
        <v/>
      </c>
      <c r="KD801" s="1980" t="str">
        <f t="shared" si="259"/>
        <v/>
      </c>
      <c r="KE801" s="1980" t="str">
        <f t="shared" si="260"/>
        <v/>
      </c>
      <c r="KF801" s="1980" t="str">
        <f t="shared" si="261"/>
        <v/>
      </c>
      <c r="KG801" s="1980" t="str">
        <f t="shared" si="262"/>
        <v/>
      </c>
      <c r="KH801" s="1980" t="str">
        <f t="shared" si="263"/>
        <v/>
      </c>
      <c r="KI801" s="1980" t="str">
        <f t="shared" si="264"/>
        <v/>
      </c>
      <c r="KJ801" s="1980" t="str">
        <f t="shared" si="265"/>
        <v/>
      </c>
      <c r="KK801" s="1980" t="str">
        <f t="shared" si="266"/>
        <v/>
      </c>
      <c r="KL801" s="1980" t="str">
        <f t="shared" si="267"/>
        <v/>
      </c>
      <c r="KM801" s="1980" t="str">
        <f t="shared" si="268"/>
        <v/>
      </c>
      <c r="KN801" s="1980" t="str">
        <f t="shared" si="269"/>
        <v/>
      </c>
      <c r="KO801" s="1980" t="str">
        <f t="shared" si="270"/>
        <v/>
      </c>
      <c r="KP801" s="1980" t="str">
        <f t="shared" si="271"/>
        <v/>
      </c>
      <c r="KQ801" s="1980" t="str">
        <f t="shared" si="272"/>
        <v/>
      </c>
      <c r="KR801" s="1980" t="str">
        <f t="shared" si="273"/>
        <v/>
      </c>
      <c r="KS801" s="1980" t="str">
        <f t="shared" si="274"/>
        <v/>
      </c>
      <c r="KT801" s="1980" t="str">
        <f t="shared" si="275"/>
        <v/>
      </c>
      <c r="KU801" s="1980" t="str">
        <f t="shared" si="276"/>
        <v/>
      </c>
      <c r="KV801" s="1980" t="str">
        <f t="shared" si="277"/>
        <v/>
      </c>
      <c r="KW801" s="1980" t="str">
        <f t="shared" si="278"/>
        <v/>
      </c>
      <c r="KX801" s="1980" t="str">
        <f t="shared" si="279"/>
        <v/>
      </c>
      <c r="KY801" s="1980" t="str">
        <f t="shared" si="280"/>
        <v/>
      </c>
      <c r="KZ801" s="1980" t="str">
        <f t="shared" si="281"/>
        <v/>
      </c>
      <c r="LA801" s="1980" t="str">
        <f t="shared" si="282"/>
        <v/>
      </c>
      <c r="LB801" s="1980" t="str">
        <f t="shared" si="283"/>
        <v/>
      </c>
      <c r="LC801" s="1980" t="str">
        <f t="shared" si="284"/>
        <v/>
      </c>
      <c r="LD801" s="1980" t="str">
        <f t="shared" si="285"/>
        <v/>
      </c>
      <c r="LE801" s="1980" t="str">
        <f t="shared" si="286"/>
        <v/>
      </c>
      <c r="LF801" s="1953" t="str">
        <f t="shared" si="287"/>
        <v/>
      </c>
      <c r="LG801" s="1953" t="str">
        <f t="shared" si="288"/>
        <v/>
      </c>
      <c r="LH801" s="1953" t="str">
        <f t="shared" si="289"/>
        <v/>
      </c>
      <c r="LI801" s="1953" t="str">
        <f t="shared" si="290"/>
        <v/>
      </c>
      <c r="LJ801" s="1953"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953">
        <f t="shared" si="323"/>
        <v>0</v>
      </c>
      <c r="MF801" s="1953">
        <f t="shared" si="324"/>
        <v>0</v>
      </c>
      <c r="MG801" s="1953">
        <f t="shared" si="325"/>
        <v>0</v>
      </c>
      <c r="MH801" s="1953">
        <f t="shared" si="326"/>
        <v>0</v>
      </c>
      <c r="MI801" s="1953">
        <f t="shared" si="327"/>
        <v>0</v>
      </c>
      <c r="MJ801" s="1953">
        <f t="shared" si="328"/>
        <v>0</v>
      </c>
      <c r="MK801" s="1953">
        <f t="shared" si="329"/>
        <v>0</v>
      </c>
      <c r="ML801" s="1953">
        <f t="shared" si="330"/>
        <v>0</v>
      </c>
      <c r="MM801" s="1953">
        <f t="shared" si="331"/>
        <v>0</v>
      </c>
      <c r="MN801" s="1953">
        <f t="shared" si="332"/>
        <v>0</v>
      </c>
      <c r="MO801" s="1953">
        <f t="shared" si="333"/>
        <v>0</v>
      </c>
      <c r="MP801" s="1953">
        <f t="shared" si="334"/>
        <v>0</v>
      </c>
      <c r="MQ801" s="1953">
        <f t="shared" si="335"/>
        <v>0</v>
      </c>
      <c r="MR801" s="1953">
        <f t="shared" si="336"/>
        <v>0</v>
      </c>
      <c r="MS801" s="1953">
        <f t="shared" si="337"/>
        <v>0</v>
      </c>
    </row>
    <row r="802" spans="1:357">
      <c r="A802" s="1955" t="str">
        <f t="shared" si="0"/>
        <v/>
      </c>
      <c r="B802" s="1971">
        <f>'Part VI-Revenues &amp; Expenses'!B40</f>
        <v>0</v>
      </c>
      <c r="C802" s="1972">
        <f>'Part VI-Revenues &amp; Expenses'!C40</f>
        <v>0</v>
      </c>
      <c r="D802" s="1973">
        <f>'Part VI-Revenues &amp; Expenses'!D40</f>
        <v>0</v>
      </c>
      <c r="E802" s="1974">
        <f>'Part VI-Revenues &amp; Expenses'!E40</f>
        <v>0</v>
      </c>
      <c r="F802" s="1974">
        <f>'Part VI-Revenues &amp; Expenses'!F40</f>
        <v>0</v>
      </c>
      <c r="G802" s="1974">
        <f>'Part VI-Revenues &amp; Expenses'!G40</f>
        <v>0</v>
      </c>
      <c r="H802" s="1974">
        <f>'Part VI-Revenues &amp; Expenses'!H40</f>
        <v>0</v>
      </c>
      <c r="I802" s="1974">
        <f>'Part VI-Revenues &amp; Expenses'!I40</f>
        <v>0</v>
      </c>
      <c r="J802" s="1975">
        <f>'Part VI-Revenues &amp; Expenses'!J40</f>
        <v>0</v>
      </c>
      <c r="K802" s="1976">
        <f t="shared" si="1"/>
        <v>0</v>
      </c>
      <c r="L802" s="1976">
        <f t="shared" si="2"/>
        <v>0</v>
      </c>
      <c r="M802" s="1834">
        <f>'Part VI-Revenues &amp; Expenses'!M40</f>
        <v>0</v>
      </c>
      <c r="N802" s="1834">
        <f>'Part VI-Revenues &amp; Expenses'!N40</f>
        <v>0</v>
      </c>
      <c r="O802" s="1834">
        <f>'Part VI-Revenues &amp; Expenses'!O40</f>
        <v>0</v>
      </c>
      <c r="P802" s="1958">
        <f>'Part VI-Revenues &amp; Expenses'!P40</f>
        <v>0</v>
      </c>
      <c r="Q802" s="1977" t="str">
        <f>'Part VI-Revenues &amp; Expenses'!Q40</f>
        <v/>
      </c>
      <c r="R802" s="1978" t="str">
        <f>'Part VI-Revenues &amp; Expenses'!R40</f>
        <v/>
      </c>
      <c r="S802" s="1977">
        <f>'Part VI-Revenues &amp; Expenses'!S40</f>
        <v>0</v>
      </c>
      <c r="T802" s="1978">
        <f>'Part VI-Revenues &amp; Expenses'!T40</f>
        <v>0</v>
      </c>
      <c r="U802" s="1979">
        <f>'Part VI-Revenues &amp; Expenses'!U40:V40</f>
        <v>0</v>
      </c>
      <c r="V802" s="1979"/>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980" t="str">
        <f t="shared" si="202"/>
        <v/>
      </c>
      <c r="HZ802" s="1980" t="str">
        <f t="shared" si="203"/>
        <v/>
      </c>
      <c r="IA802" s="1980" t="str">
        <f t="shared" si="204"/>
        <v/>
      </c>
      <c r="IB802" s="1980" t="str">
        <f t="shared" si="205"/>
        <v/>
      </c>
      <c r="IC802" s="1980" t="str">
        <f t="shared" si="206"/>
        <v/>
      </c>
      <c r="ID802" s="1980" t="str">
        <f t="shared" si="207"/>
        <v/>
      </c>
      <c r="IE802" s="1980" t="str">
        <f t="shared" si="208"/>
        <v/>
      </c>
      <c r="IF802" s="1980" t="str">
        <f t="shared" si="209"/>
        <v/>
      </c>
      <c r="IG802" s="1980" t="str">
        <f t="shared" si="210"/>
        <v/>
      </c>
      <c r="IH802" s="1980" t="str">
        <f t="shared" si="211"/>
        <v/>
      </c>
      <c r="II802" s="1980" t="str">
        <f t="shared" si="212"/>
        <v/>
      </c>
      <c r="IJ802" s="1980" t="str">
        <f t="shared" si="213"/>
        <v/>
      </c>
      <c r="IK802" s="1980" t="str">
        <f t="shared" si="214"/>
        <v/>
      </c>
      <c r="IL802" s="1980" t="str">
        <f t="shared" si="215"/>
        <v/>
      </c>
      <c r="IM802" s="1980" t="str">
        <f t="shared" si="216"/>
        <v/>
      </c>
      <c r="IN802" s="1980" t="str">
        <f t="shared" si="217"/>
        <v/>
      </c>
      <c r="IO802" s="1980" t="str">
        <f t="shared" si="218"/>
        <v/>
      </c>
      <c r="IP802" s="1980" t="str">
        <f t="shared" si="219"/>
        <v/>
      </c>
      <c r="IQ802" s="1980" t="str">
        <f t="shared" si="220"/>
        <v/>
      </c>
      <c r="IR802" s="1980" t="str">
        <f t="shared" si="221"/>
        <v/>
      </c>
      <c r="IS802" s="1980" t="str">
        <f t="shared" si="222"/>
        <v/>
      </c>
      <c r="IT802" s="1980" t="str">
        <f t="shared" si="223"/>
        <v/>
      </c>
      <c r="IU802" s="1980" t="str">
        <f t="shared" si="224"/>
        <v/>
      </c>
      <c r="IV802" s="1980" t="str">
        <f t="shared" si="225"/>
        <v/>
      </c>
      <c r="IW802" s="1980" t="str">
        <f t="shared" si="226"/>
        <v/>
      </c>
      <c r="IX802" s="1980" t="str">
        <f t="shared" si="227"/>
        <v/>
      </c>
      <c r="IY802" s="1980" t="str">
        <f t="shared" si="228"/>
        <v/>
      </c>
      <c r="IZ802" s="1980" t="str">
        <f t="shared" si="229"/>
        <v/>
      </c>
      <c r="JA802" s="1980" t="str">
        <f t="shared" si="230"/>
        <v/>
      </c>
      <c r="JB802" s="1980" t="str">
        <f t="shared" si="231"/>
        <v/>
      </c>
      <c r="JC802" s="1980" t="str">
        <f t="shared" si="232"/>
        <v/>
      </c>
      <c r="JD802" s="1980" t="str">
        <f t="shared" si="233"/>
        <v/>
      </c>
      <c r="JE802" s="1980" t="str">
        <f t="shared" si="234"/>
        <v/>
      </c>
      <c r="JF802" s="1980" t="str">
        <f t="shared" si="235"/>
        <v/>
      </c>
      <c r="JG802" s="1980" t="str">
        <f t="shared" si="236"/>
        <v/>
      </c>
      <c r="JH802" s="1980" t="str">
        <f t="shared" si="237"/>
        <v/>
      </c>
      <c r="JI802" s="1980" t="str">
        <f t="shared" si="238"/>
        <v/>
      </c>
      <c r="JJ802" s="1980" t="str">
        <f t="shared" si="239"/>
        <v/>
      </c>
      <c r="JK802" s="1980" t="str">
        <f t="shared" si="240"/>
        <v/>
      </c>
      <c r="JL802" s="1980" t="str">
        <f t="shared" si="241"/>
        <v/>
      </c>
      <c r="JM802" s="1980" t="str">
        <f t="shared" si="242"/>
        <v/>
      </c>
      <c r="JN802" s="1980" t="str">
        <f t="shared" si="243"/>
        <v/>
      </c>
      <c r="JO802" s="1980" t="str">
        <f t="shared" si="244"/>
        <v/>
      </c>
      <c r="JP802" s="1980" t="str">
        <f t="shared" si="245"/>
        <v/>
      </c>
      <c r="JQ802" s="1980" t="str">
        <f t="shared" si="246"/>
        <v/>
      </c>
      <c r="JR802" s="1980" t="str">
        <f t="shared" si="247"/>
        <v/>
      </c>
      <c r="JS802" s="1980" t="str">
        <f t="shared" si="248"/>
        <v/>
      </c>
      <c r="JT802" s="1980" t="str">
        <f t="shared" si="249"/>
        <v/>
      </c>
      <c r="JU802" s="1980" t="str">
        <f t="shared" si="250"/>
        <v/>
      </c>
      <c r="JV802" s="1980" t="str">
        <f t="shared" si="251"/>
        <v/>
      </c>
      <c r="JW802" s="1980" t="str">
        <f t="shared" si="252"/>
        <v/>
      </c>
      <c r="JX802" s="1980" t="str">
        <f t="shared" si="253"/>
        <v/>
      </c>
      <c r="JY802" s="1980" t="str">
        <f t="shared" si="254"/>
        <v/>
      </c>
      <c r="JZ802" s="1980" t="str">
        <f t="shared" si="255"/>
        <v/>
      </c>
      <c r="KA802" s="1980" t="str">
        <f t="shared" si="256"/>
        <v/>
      </c>
      <c r="KB802" s="1980" t="str">
        <f t="shared" si="257"/>
        <v/>
      </c>
      <c r="KC802" s="1980" t="str">
        <f t="shared" si="258"/>
        <v/>
      </c>
      <c r="KD802" s="1980" t="str">
        <f t="shared" si="259"/>
        <v/>
      </c>
      <c r="KE802" s="1980" t="str">
        <f t="shared" si="260"/>
        <v/>
      </c>
      <c r="KF802" s="1980" t="str">
        <f t="shared" si="261"/>
        <v/>
      </c>
      <c r="KG802" s="1980" t="str">
        <f t="shared" si="262"/>
        <v/>
      </c>
      <c r="KH802" s="1980" t="str">
        <f t="shared" si="263"/>
        <v/>
      </c>
      <c r="KI802" s="1980" t="str">
        <f t="shared" si="264"/>
        <v/>
      </c>
      <c r="KJ802" s="1980" t="str">
        <f t="shared" si="265"/>
        <v/>
      </c>
      <c r="KK802" s="1980" t="str">
        <f t="shared" si="266"/>
        <v/>
      </c>
      <c r="KL802" s="1980" t="str">
        <f t="shared" si="267"/>
        <v/>
      </c>
      <c r="KM802" s="1980" t="str">
        <f t="shared" si="268"/>
        <v/>
      </c>
      <c r="KN802" s="1980" t="str">
        <f t="shared" si="269"/>
        <v/>
      </c>
      <c r="KO802" s="1980" t="str">
        <f t="shared" si="270"/>
        <v/>
      </c>
      <c r="KP802" s="1980" t="str">
        <f t="shared" si="271"/>
        <v/>
      </c>
      <c r="KQ802" s="1980" t="str">
        <f t="shared" si="272"/>
        <v/>
      </c>
      <c r="KR802" s="1980" t="str">
        <f t="shared" si="273"/>
        <v/>
      </c>
      <c r="KS802" s="1980" t="str">
        <f t="shared" si="274"/>
        <v/>
      </c>
      <c r="KT802" s="1980" t="str">
        <f t="shared" si="275"/>
        <v/>
      </c>
      <c r="KU802" s="1980" t="str">
        <f t="shared" si="276"/>
        <v/>
      </c>
      <c r="KV802" s="1980" t="str">
        <f t="shared" si="277"/>
        <v/>
      </c>
      <c r="KW802" s="1980" t="str">
        <f t="shared" si="278"/>
        <v/>
      </c>
      <c r="KX802" s="1980" t="str">
        <f t="shared" si="279"/>
        <v/>
      </c>
      <c r="KY802" s="1980" t="str">
        <f t="shared" si="280"/>
        <v/>
      </c>
      <c r="KZ802" s="1980" t="str">
        <f t="shared" si="281"/>
        <v/>
      </c>
      <c r="LA802" s="1980" t="str">
        <f t="shared" si="282"/>
        <v/>
      </c>
      <c r="LB802" s="1980" t="str">
        <f t="shared" si="283"/>
        <v/>
      </c>
      <c r="LC802" s="1980" t="str">
        <f t="shared" si="284"/>
        <v/>
      </c>
      <c r="LD802" s="1980" t="str">
        <f t="shared" si="285"/>
        <v/>
      </c>
      <c r="LE802" s="1980" t="str">
        <f t="shared" si="286"/>
        <v/>
      </c>
      <c r="LF802" s="1953" t="str">
        <f t="shared" si="287"/>
        <v/>
      </c>
      <c r="LG802" s="1953" t="str">
        <f t="shared" si="288"/>
        <v/>
      </c>
      <c r="LH802" s="1953" t="str">
        <f t="shared" si="289"/>
        <v/>
      </c>
      <c r="LI802" s="1953" t="str">
        <f t="shared" si="290"/>
        <v/>
      </c>
      <c r="LJ802" s="1953"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953">
        <f t="shared" si="323"/>
        <v>0</v>
      </c>
      <c r="MF802" s="1953">
        <f t="shared" si="324"/>
        <v>0</v>
      </c>
      <c r="MG802" s="1953">
        <f t="shared" si="325"/>
        <v>0</v>
      </c>
      <c r="MH802" s="1953">
        <f t="shared" si="326"/>
        <v>0</v>
      </c>
      <c r="MI802" s="1953">
        <f t="shared" si="327"/>
        <v>0</v>
      </c>
      <c r="MJ802" s="1953">
        <f t="shared" si="328"/>
        <v>0</v>
      </c>
      <c r="MK802" s="1953">
        <f t="shared" si="329"/>
        <v>0</v>
      </c>
      <c r="ML802" s="1953">
        <f t="shared" si="330"/>
        <v>0</v>
      </c>
      <c r="MM802" s="1953">
        <f t="shared" si="331"/>
        <v>0</v>
      </c>
      <c r="MN802" s="1953">
        <f t="shared" si="332"/>
        <v>0</v>
      </c>
      <c r="MO802" s="1953">
        <f t="shared" si="333"/>
        <v>0</v>
      </c>
      <c r="MP802" s="1953">
        <f t="shared" si="334"/>
        <v>0</v>
      </c>
      <c r="MQ802" s="1953">
        <f t="shared" si="335"/>
        <v>0</v>
      </c>
      <c r="MR802" s="1953">
        <f t="shared" si="336"/>
        <v>0</v>
      </c>
      <c r="MS802" s="1953">
        <f t="shared" si="337"/>
        <v>0</v>
      </c>
    </row>
    <row r="803" spans="1:357">
      <c r="A803" s="1955" t="str">
        <f t="shared" si="0"/>
        <v/>
      </c>
      <c r="B803" s="1971">
        <f>'Part VI-Revenues &amp; Expenses'!B41</f>
        <v>0</v>
      </c>
      <c r="C803" s="1972">
        <f>'Part VI-Revenues &amp; Expenses'!C41</f>
        <v>0</v>
      </c>
      <c r="D803" s="1973">
        <f>'Part VI-Revenues &amp; Expenses'!D41</f>
        <v>0</v>
      </c>
      <c r="E803" s="1974">
        <f>'Part VI-Revenues &amp; Expenses'!E41</f>
        <v>0</v>
      </c>
      <c r="F803" s="1974">
        <f>'Part VI-Revenues &amp; Expenses'!F41</f>
        <v>0</v>
      </c>
      <c r="G803" s="1974">
        <f>'Part VI-Revenues &amp; Expenses'!G41</f>
        <v>0</v>
      </c>
      <c r="H803" s="1974">
        <f>'Part VI-Revenues &amp; Expenses'!H41</f>
        <v>0</v>
      </c>
      <c r="I803" s="1974">
        <f>'Part VI-Revenues &amp; Expenses'!I41</f>
        <v>0</v>
      </c>
      <c r="J803" s="1975">
        <f>'Part VI-Revenues &amp; Expenses'!J41</f>
        <v>0</v>
      </c>
      <c r="K803" s="1976">
        <f t="shared" si="1"/>
        <v>0</v>
      </c>
      <c r="L803" s="1976">
        <f t="shared" si="2"/>
        <v>0</v>
      </c>
      <c r="M803" s="1834">
        <f>'Part VI-Revenues &amp; Expenses'!M41</f>
        <v>0</v>
      </c>
      <c r="N803" s="1834">
        <f>'Part VI-Revenues &amp; Expenses'!N41</f>
        <v>0</v>
      </c>
      <c r="O803" s="1834">
        <f>'Part VI-Revenues &amp; Expenses'!O41</f>
        <v>0</v>
      </c>
      <c r="P803" s="1958">
        <f>'Part VI-Revenues &amp; Expenses'!P41</f>
        <v>0</v>
      </c>
      <c r="Q803" s="1977" t="str">
        <f>'Part VI-Revenues &amp; Expenses'!Q41</f>
        <v/>
      </c>
      <c r="R803" s="1978" t="str">
        <f>'Part VI-Revenues &amp; Expenses'!R41</f>
        <v/>
      </c>
      <c r="S803" s="1977">
        <f>'Part VI-Revenues &amp; Expenses'!S41</f>
        <v>0</v>
      </c>
      <c r="T803" s="1978">
        <f>'Part VI-Revenues &amp; Expenses'!T41</f>
        <v>0</v>
      </c>
      <c r="U803" s="1979">
        <f>'Part VI-Revenues &amp; Expenses'!U41:V41</f>
        <v>0</v>
      </c>
      <c r="V803" s="1979"/>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980" t="str">
        <f t="shared" si="202"/>
        <v/>
      </c>
      <c r="HZ803" s="1980" t="str">
        <f t="shared" si="203"/>
        <v/>
      </c>
      <c r="IA803" s="1980" t="str">
        <f t="shared" si="204"/>
        <v/>
      </c>
      <c r="IB803" s="1980" t="str">
        <f t="shared" si="205"/>
        <v/>
      </c>
      <c r="IC803" s="1980" t="str">
        <f t="shared" si="206"/>
        <v/>
      </c>
      <c r="ID803" s="1980" t="str">
        <f t="shared" si="207"/>
        <v/>
      </c>
      <c r="IE803" s="1980" t="str">
        <f t="shared" si="208"/>
        <v/>
      </c>
      <c r="IF803" s="1980" t="str">
        <f t="shared" si="209"/>
        <v/>
      </c>
      <c r="IG803" s="1980" t="str">
        <f t="shared" si="210"/>
        <v/>
      </c>
      <c r="IH803" s="1980" t="str">
        <f t="shared" si="211"/>
        <v/>
      </c>
      <c r="II803" s="1980" t="str">
        <f t="shared" si="212"/>
        <v/>
      </c>
      <c r="IJ803" s="1980" t="str">
        <f t="shared" si="213"/>
        <v/>
      </c>
      <c r="IK803" s="1980" t="str">
        <f t="shared" si="214"/>
        <v/>
      </c>
      <c r="IL803" s="1980" t="str">
        <f t="shared" si="215"/>
        <v/>
      </c>
      <c r="IM803" s="1980" t="str">
        <f t="shared" si="216"/>
        <v/>
      </c>
      <c r="IN803" s="1980" t="str">
        <f t="shared" si="217"/>
        <v/>
      </c>
      <c r="IO803" s="1980" t="str">
        <f t="shared" si="218"/>
        <v/>
      </c>
      <c r="IP803" s="1980" t="str">
        <f t="shared" si="219"/>
        <v/>
      </c>
      <c r="IQ803" s="1980" t="str">
        <f t="shared" si="220"/>
        <v/>
      </c>
      <c r="IR803" s="1980" t="str">
        <f t="shared" si="221"/>
        <v/>
      </c>
      <c r="IS803" s="1980" t="str">
        <f t="shared" si="222"/>
        <v/>
      </c>
      <c r="IT803" s="1980" t="str">
        <f t="shared" si="223"/>
        <v/>
      </c>
      <c r="IU803" s="1980" t="str">
        <f t="shared" si="224"/>
        <v/>
      </c>
      <c r="IV803" s="1980" t="str">
        <f t="shared" si="225"/>
        <v/>
      </c>
      <c r="IW803" s="1980" t="str">
        <f t="shared" si="226"/>
        <v/>
      </c>
      <c r="IX803" s="1980" t="str">
        <f t="shared" si="227"/>
        <v/>
      </c>
      <c r="IY803" s="1980" t="str">
        <f t="shared" si="228"/>
        <v/>
      </c>
      <c r="IZ803" s="1980" t="str">
        <f t="shared" si="229"/>
        <v/>
      </c>
      <c r="JA803" s="1980" t="str">
        <f t="shared" si="230"/>
        <v/>
      </c>
      <c r="JB803" s="1980" t="str">
        <f t="shared" si="231"/>
        <v/>
      </c>
      <c r="JC803" s="1980" t="str">
        <f t="shared" si="232"/>
        <v/>
      </c>
      <c r="JD803" s="1980" t="str">
        <f t="shared" si="233"/>
        <v/>
      </c>
      <c r="JE803" s="1980" t="str">
        <f t="shared" si="234"/>
        <v/>
      </c>
      <c r="JF803" s="1980" t="str">
        <f t="shared" si="235"/>
        <v/>
      </c>
      <c r="JG803" s="1980" t="str">
        <f t="shared" si="236"/>
        <v/>
      </c>
      <c r="JH803" s="1980" t="str">
        <f t="shared" si="237"/>
        <v/>
      </c>
      <c r="JI803" s="1980" t="str">
        <f t="shared" si="238"/>
        <v/>
      </c>
      <c r="JJ803" s="1980" t="str">
        <f t="shared" si="239"/>
        <v/>
      </c>
      <c r="JK803" s="1980" t="str">
        <f t="shared" si="240"/>
        <v/>
      </c>
      <c r="JL803" s="1980" t="str">
        <f t="shared" si="241"/>
        <v/>
      </c>
      <c r="JM803" s="1980" t="str">
        <f t="shared" si="242"/>
        <v/>
      </c>
      <c r="JN803" s="1980" t="str">
        <f t="shared" si="243"/>
        <v/>
      </c>
      <c r="JO803" s="1980" t="str">
        <f t="shared" si="244"/>
        <v/>
      </c>
      <c r="JP803" s="1980" t="str">
        <f t="shared" si="245"/>
        <v/>
      </c>
      <c r="JQ803" s="1980" t="str">
        <f t="shared" si="246"/>
        <v/>
      </c>
      <c r="JR803" s="1980" t="str">
        <f t="shared" si="247"/>
        <v/>
      </c>
      <c r="JS803" s="1980" t="str">
        <f t="shared" si="248"/>
        <v/>
      </c>
      <c r="JT803" s="1980" t="str">
        <f t="shared" si="249"/>
        <v/>
      </c>
      <c r="JU803" s="1980" t="str">
        <f t="shared" si="250"/>
        <v/>
      </c>
      <c r="JV803" s="1980" t="str">
        <f t="shared" si="251"/>
        <v/>
      </c>
      <c r="JW803" s="1980" t="str">
        <f t="shared" si="252"/>
        <v/>
      </c>
      <c r="JX803" s="1980" t="str">
        <f t="shared" si="253"/>
        <v/>
      </c>
      <c r="JY803" s="1980" t="str">
        <f t="shared" si="254"/>
        <v/>
      </c>
      <c r="JZ803" s="1980" t="str">
        <f t="shared" si="255"/>
        <v/>
      </c>
      <c r="KA803" s="1980" t="str">
        <f t="shared" si="256"/>
        <v/>
      </c>
      <c r="KB803" s="1980" t="str">
        <f t="shared" si="257"/>
        <v/>
      </c>
      <c r="KC803" s="1980" t="str">
        <f t="shared" si="258"/>
        <v/>
      </c>
      <c r="KD803" s="1980" t="str">
        <f t="shared" si="259"/>
        <v/>
      </c>
      <c r="KE803" s="1980" t="str">
        <f t="shared" si="260"/>
        <v/>
      </c>
      <c r="KF803" s="1980" t="str">
        <f t="shared" si="261"/>
        <v/>
      </c>
      <c r="KG803" s="1980" t="str">
        <f t="shared" si="262"/>
        <v/>
      </c>
      <c r="KH803" s="1980" t="str">
        <f t="shared" si="263"/>
        <v/>
      </c>
      <c r="KI803" s="1980" t="str">
        <f t="shared" si="264"/>
        <v/>
      </c>
      <c r="KJ803" s="1980" t="str">
        <f t="shared" si="265"/>
        <v/>
      </c>
      <c r="KK803" s="1980" t="str">
        <f t="shared" si="266"/>
        <v/>
      </c>
      <c r="KL803" s="1980" t="str">
        <f t="shared" si="267"/>
        <v/>
      </c>
      <c r="KM803" s="1980" t="str">
        <f t="shared" si="268"/>
        <v/>
      </c>
      <c r="KN803" s="1980" t="str">
        <f t="shared" si="269"/>
        <v/>
      </c>
      <c r="KO803" s="1980" t="str">
        <f t="shared" si="270"/>
        <v/>
      </c>
      <c r="KP803" s="1980" t="str">
        <f t="shared" si="271"/>
        <v/>
      </c>
      <c r="KQ803" s="1980" t="str">
        <f t="shared" si="272"/>
        <v/>
      </c>
      <c r="KR803" s="1980" t="str">
        <f t="shared" si="273"/>
        <v/>
      </c>
      <c r="KS803" s="1980" t="str">
        <f t="shared" si="274"/>
        <v/>
      </c>
      <c r="KT803" s="1980" t="str">
        <f t="shared" si="275"/>
        <v/>
      </c>
      <c r="KU803" s="1980" t="str">
        <f t="shared" si="276"/>
        <v/>
      </c>
      <c r="KV803" s="1980" t="str">
        <f t="shared" si="277"/>
        <v/>
      </c>
      <c r="KW803" s="1980" t="str">
        <f t="shared" si="278"/>
        <v/>
      </c>
      <c r="KX803" s="1980" t="str">
        <f t="shared" si="279"/>
        <v/>
      </c>
      <c r="KY803" s="1980" t="str">
        <f t="shared" si="280"/>
        <v/>
      </c>
      <c r="KZ803" s="1980" t="str">
        <f t="shared" si="281"/>
        <v/>
      </c>
      <c r="LA803" s="1980" t="str">
        <f t="shared" si="282"/>
        <v/>
      </c>
      <c r="LB803" s="1980" t="str">
        <f t="shared" si="283"/>
        <v/>
      </c>
      <c r="LC803" s="1980" t="str">
        <f t="shared" si="284"/>
        <v/>
      </c>
      <c r="LD803" s="1980" t="str">
        <f t="shared" si="285"/>
        <v/>
      </c>
      <c r="LE803" s="1980" t="str">
        <f t="shared" si="286"/>
        <v/>
      </c>
      <c r="LF803" s="1953" t="str">
        <f t="shared" si="287"/>
        <v/>
      </c>
      <c r="LG803" s="1953" t="str">
        <f t="shared" si="288"/>
        <v/>
      </c>
      <c r="LH803" s="1953" t="str">
        <f t="shared" si="289"/>
        <v/>
      </c>
      <c r="LI803" s="1953" t="str">
        <f t="shared" si="290"/>
        <v/>
      </c>
      <c r="LJ803" s="1953"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953">
        <f t="shared" si="323"/>
        <v>0</v>
      </c>
      <c r="MF803" s="1953">
        <f t="shared" si="324"/>
        <v>0</v>
      </c>
      <c r="MG803" s="1953">
        <f t="shared" si="325"/>
        <v>0</v>
      </c>
      <c r="MH803" s="1953">
        <f t="shared" si="326"/>
        <v>0</v>
      </c>
      <c r="MI803" s="1953">
        <f t="shared" si="327"/>
        <v>0</v>
      </c>
      <c r="MJ803" s="1953">
        <f t="shared" si="328"/>
        <v>0</v>
      </c>
      <c r="MK803" s="1953">
        <f t="shared" si="329"/>
        <v>0</v>
      </c>
      <c r="ML803" s="1953">
        <f t="shared" si="330"/>
        <v>0</v>
      </c>
      <c r="MM803" s="1953">
        <f t="shared" si="331"/>
        <v>0</v>
      </c>
      <c r="MN803" s="1953">
        <f t="shared" si="332"/>
        <v>0</v>
      </c>
      <c r="MO803" s="1953">
        <f t="shared" si="333"/>
        <v>0</v>
      </c>
      <c r="MP803" s="1953">
        <f t="shared" si="334"/>
        <v>0</v>
      </c>
      <c r="MQ803" s="1953">
        <f t="shared" si="335"/>
        <v>0</v>
      </c>
      <c r="MR803" s="1953">
        <f t="shared" si="336"/>
        <v>0</v>
      </c>
      <c r="MS803" s="1953">
        <f t="shared" si="337"/>
        <v>0</v>
      </c>
    </row>
    <row r="804" spans="1:357">
      <c r="A804" s="1955" t="str">
        <f t="shared" si="0"/>
        <v/>
      </c>
      <c r="B804" s="1971">
        <f>'Part VI-Revenues &amp; Expenses'!B42</f>
        <v>0</v>
      </c>
      <c r="C804" s="1972">
        <f>'Part VI-Revenues &amp; Expenses'!C42</f>
        <v>0</v>
      </c>
      <c r="D804" s="1973">
        <f>'Part VI-Revenues &amp; Expenses'!D42</f>
        <v>0</v>
      </c>
      <c r="E804" s="1974">
        <f>'Part VI-Revenues &amp; Expenses'!E42</f>
        <v>0</v>
      </c>
      <c r="F804" s="1974">
        <f>'Part VI-Revenues &amp; Expenses'!F42</f>
        <v>0</v>
      </c>
      <c r="G804" s="1974">
        <f>'Part VI-Revenues &amp; Expenses'!G42</f>
        <v>0</v>
      </c>
      <c r="H804" s="1974">
        <f>'Part VI-Revenues &amp; Expenses'!H42</f>
        <v>0</v>
      </c>
      <c r="I804" s="1974">
        <f>'Part VI-Revenues &amp; Expenses'!I42</f>
        <v>0</v>
      </c>
      <c r="J804" s="1975">
        <f>'Part VI-Revenues &amp; Expenses'!J42</f>
        <v>0</v>
      </c>
      <c r="K804" s="1976">
        <f t="shared" si="1"/>
        <v>0</v>
      </c>
      <c r="L804" s="1976">
        <f t="shared" si="2"/>
        <v>0</v>
      </c>
      <c r="M804" s="1834">
        <f>'Part VI-Revenues &amp; Expenses'!M42</f>
        <v>0</v>
      </c>
      <c r="N804" s="1834">
        <f>'Part VI-Revenues &amp; Expenses'!N42</f>
        <v>0</v>
      </c>
      <c r="O804" s="1834">
        <f>'Part VI-Revenues &amp; Expenses'!O42</f>
        <v>0</v>
      </c>
      <c r="P804" s="1958">
        <f>'Part VI-Revenues &amp; Expenses'!P42</f>
        <v>0</v>
      </c>
      <c r="Q804" s="1977" t="str">
        <f>'Part VI-Revenues &amp; Expenses'!Q42</f>
        <v/>
      </c>
      <c r="R804" s="1978" t="str">
        <f>'Part VI-Revenues &amp; Expenses'!R42</f>
        <v/>
      </c>
      <c r="S804" s="1977">
        <f>'Part VI-Revenues &amp; Expenses'!S42</f>
        <v>0</v>
      </c>
      <c r="T804" s="1978">
        <f>'Part VI-Revenues &amp; Expenses'!T42</f>
        <v>0</v>
      </c>
      <c r="U804" s="1979">
        <f>'Part VI-Revenues &amp; Expenses'!U42:V42</f>
        <v>0</v>
      </c>
      <c r="V804" s="1979"/>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980" t="str">
        <f t="shared" si="202"/>
        <v/>
      </c>
      <c r="HZ804" s="1980" t="str">
        <f t="shared" si="203"/>
        <v/>
      </c>
      <c r="IA804" s="1980" t="str">
        <f t="shared" si="204"/>
        <v/>
      </c>
      <c r="IB804" s="1980" t="str">
        <f t="shared" si="205"/>
        <v/>
      </c>
      <c r="IC804" s="1980" t="str">
        <f t="shared" si="206"/>
        <v/>
      </c>
      <c r="ID804" s="1980" t="str">
        <f t="shared" si="207"/>
        <v/>
      </c>
      <c r="IE804" s="1980" t="str">
        <f t="shared" si="208"/>
        <v/>
      </c>
      <c r="IF804" s="1980" t="str">
        <f t="shared" si="209"/>
        <v/>
      </c>
      <c r="IG804" s="1980" t="str">
        <f t="shared" si="210"/>
        <v/>
      </c>
      <c r="IH804" s="1980" t="str">
        <f t="shared" si="211"/>
        <v/>
      </c>
      <c r="II804" s="1980" t="str">
        <f t="shared" si="212"/>
        <v/>
      </c>
      <c r="IJ804" s="1980" t="str">
        <f t="shared" si="213"/>
        <v/>
      </c>
      <c r="IK804" s="1980" t="str">
        <f t="shared" si="214"/>
        <v/>
      </c>
      <c r="IL804" s="1980" t="str">
        <f t="shared" si="215"/>
        <v/>
      </c>
      <c r="IM804" s="1980" t="str">
        <f t="shared" si="216"/>
        <v/>
      </c>
      <c r="IN804" s="1980" t="str">
        <f t="shared" si="217"/>
        <v/>
      </c>
      <c r="IO804" s="1980" t="str">
        <f t="shared" si="218"/>
        <v/>
      </c>
      <c r="IP804" s="1980" t="str">
        <f t="shared" si="219"/>
        <v/>
      </c>
      <c r="IQ804" s="1980" t="str">
        <f t="shared" si="220"/>
        <v/>
      </c>
      <c r="IR804" s="1980" t="str">
        <f t="shared" si="221"/>
        <v/>
      </c>
      <c r="IS804" s="1980" t="str">
        <f t="shared" si="222"/>
        <v/>
      </c>
      <c r="IT804" s="1980" t="str">
        <f t="shared" si="223"/>
        <v/>
      </c>
      <c r="IU804" s="1980" t="str">
        <f t="shared" si="224"/>
        <v/>
      </c>
      <c r="IV804" s="1980" t="str">
        <f t="shared" si="225"/>
        <v/>
      </c>
      <c r="IW804" s="1980" t="str">
        <f t="shared" si="226"/>
        <v/>
      </c>
      <c r="IX804" s="1980" t="str">
        <f t="shared" si="227"/>
        <v/>
      </c>
      <c r="IY804" s="1980" t="str">
        <f t="shared" si="228"/>
        <v/>
      </c>
      <c r="IZ804" s="1980" t="str">
        <f t="shared" si="229"/>
        <v/>
      </c>
      <c r="JA804" s="1980" t="str">
        <f t="shared" si="230"/>
        <v/>
      </c>
      <c r="JB804" s="1980" t="str">
        <f t="shared" si="231"/>
        <v/>
      </c>
      <c r="JC804" s="1980" t="str">
        <f t="shared" si="232"/>
        <v/>
      </c>
      <c r="JD804" s="1980" t="str">
        <f t="shared" si="233"/>
        <v/>
      </c>
      <c r="JE804" s="1980" t="str">
        <f t="shared" si="234"/>
        <v/>
      </c>
      <c r="JF804" s="1980" t="str">
        <f t="shared" si="235"/>
        <v/>
      </c>
      <c r="JG804" s="1980" t="str">
        <f t="shared" si="236"/>
        <v/>
      </c>
      <c r="JH804" s="1980" t="str">
        <f t="shared" si="237"/>
        <v/>
      </c>
      <c r="JI804" s="1980" t="str">
        <f t="shared" si="238"/>
        <v/>
      </c>
      <c r="JJ804" s="1980" t="str">
        <f t="shared" si="239"/>
        <v/>
      </c>
      <c r="JK804" s="1980" t="str">
        <f t="shared" si="240"/>
        <v/>
      </c>
      <c r="JL804" s="1980" t="str">
        <f t="shared" si="241"/>
        <v/>
      </c>
      <c r="JM804" s="1980" t="str">
        <f t="shared" si="242"/>
        <v/>
      </c>
      <c r="JN804" s="1980" t="str">
        <f t="shared" si="243"/>
        <v/>
      </c>
      <c r="JO804" s="1980" t="str">
        <f t="shared" si="244"/>
        <v/>
      </c>
      <c r="JP804" s="1980" t="str">
        <f t="shared" si="245"/>
        <v/>
      </c>
      <c r="JQ804" s="1980" t="str">
        <f t="shared" si="246"/>
        <v/>
      </c>
      <c r="JR804" s="1980" t="str">
        <f t="shared" si="247"/>
        <v/>
      </c>
      <c r="JS804" s="1980" t="str">
        <f t="shared" si="248"/>
        <v/>
      </c>
      <c r="JT804" s="1980" t="str">
        <f t="shared" si="249"/>
        <v/>
      </c>
      <c r="JU804" s="1980" t="str">
        <f t="shared" si="250"/>
        <v/>
      </c>
      <c r="JV804" s="1980" t="str">
        <f t="shared" si="251"/>
        <v/>
      </c>
      <c r="JW804" s="1980" t="str">
        <f t="shared" si="252"/>
        <v/>
      </c>
      <c r="JX804" s="1980" t="str">
        <f t="shared" si="253"/>
        <v/>
      </c>
      <c r="JY804" s="1980" t="str">
        <f t="shared" si="254"/>
        <v/>
      </c>
      <c r="JZ804" s="1980" t="str">
        <f t="shared" si="255"/>
        <v/>
      </c>
      <c r="KA804" s="1980" t="str">
        <f t="shared" si="256"/>
        <v/>
      </c>
      <c r="KB804" s="1980" t="str">
        <f t="shared" si="257"/>
        <v/>
      </c>
      <c r="KC804" s="1980" t="str">
        <f t="shared" si="258"/>
        <v/>
      </c>
      <c r="KD804" s="1980" t="str">
        <f t="shared" si="259"/>
        <v/>
      </c>
      <c r="KE804" s="1980" t="str">
        <f t="shared" si="260"/>
        <v/>
      </c>
      <c r="KF804" s="1980" t="str">
        <f t="shared" si="261"/>
        <v/>
      </c>
      <c r="KG804" s="1980" t="str">
        <f t="shared" si="262"/>
        <v/>
      </c>
      <c r="KH804" s="1980" t="str">
        <f t="shared" si="263"/>
        <v/>
      </c>
      <c r="KI804" s="1980" t="str">
        <f t="shared" si="264"/>
        <v/>
      </c>
      <c r="KJ804" s="1980" t="str">
        <f t="shared" si="265"/>
        <v/>
      </c>
      <c r="KK804" s="1980" t="str">
        <f t="shared" si="266"/>
        <v/>
      </c>
      <c r="KL804" s="1980" t="str">
        <f t="shared" si="267"/>
        <v/>
      </c>
      <c r="KM804" s="1980" t="str">
        <f t="shared" si="268"/>
        <v/>
      </c>
      <c r="KN804" s="1980" t="str">
        <f t="shared" si="269"/>
        <v/>
      </c>
      <c r="KO804" s="1980" t="str">
        <f t="shared" si="270"/>
        <v/>
      </c>
      <c r="KP804" s="1980" t="str">
        <f t="shared" si="271"/>
        <v/>
      </c>
      <c r="KQ804" s="1980" t="str">
        <f t="shared" si="272"/>
        <v/>
      </c>
      <c r="KR804" s="1980" t="str">
        <f t="shared" si="273"/>
        <v/>
      </c>
      <c r="KS804" s="1980" t="str">
        <f t="shared" si="274"/>
        <v/>
      </c>
      <c r="KT804" s="1980" t="str">
        <f t="shared" si="275"/>
        <v/>
      </c>
      <c r="KU804" s="1980" t="str">
        <f t="shared" si="276"/>
        <v/>
      </c>
      <c r="KV804" s="1980" t="str">
        <f t="shared" si="277"/>
        <v/>
      </c>
      <c r="KW804" s="1980" t="str">
        <f t="shared" si="278"/>
        <v/>
      </c>
      <c r="KX804" s="1980" t="str">
        <f t="shared" si="279"/>
        <v/>
      </c>
      <c r="KY804" s="1980" t="str">
        <f t="shared" si="280"/>
        <v/>
      </c>
      <c r="KZ804" s="1980" t="str">
        <f t="shared" si="281"/>
        <v/>
      </c>
      <c r="LA804" s="1980" t="str">
        <f t="shared" si="282"/>
        <v/>
      </c>
      <c r="LB804" s="1980" t="str">
        <f t="shared" si="283"/>
        <v/>
      </c>
      <c r="LC804" s="1980" t="str">
        <f t="shared" si="284"/>
        <v/>
      </c>
      <c r="LD804" s="1980" t="str">
        <f t="shared" si="285"/>
        <v/>
      </c>
      <c r="LE804" s="1980" t="str">
        <f t="shared" si="286"/>
        <v/>
      </c>
      <c r="LF804" s="1953" t="str">
        <f t="shared" si="287"/>
        <v/>
      </c>
      <c r="LG804" s="1953" t="str">
        <f t="shared" si="288"/>
        <v/>
      </c>
      <c r="LH804" s="1953" t="str">
        <f t="shared" si="289"/>
        <v/>
      </c>
      <c r="LI804" s="1953" t="str">
        <f t="shared" si="290"/>
        <v/>
      </c>
      <c r="LJ804" s="1953"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953">
        <f t="shared" si="323"/>
        <v>0</v>
      </c>
      <c r="MF804" s="1953">
        <f t="shared" si="324"/>
        <v>0</v>
      </c>
      <c r="MG804" s="1953">
        <f t="shared" si="325"/>
        <v>0</v>
      </c>
      <c r="MH804" s="1953">
        <f t="shared" si="326"/>
        <v>0</v>
      </c>
      <c r="MI804" s="1953">
        <f t="shared" si="327"/>
        <v>0</v>
      </c>
      <c r="MJ804" s="1953">
        <f t="shared" si="328"/>
        <v>0</v>
      </c>
      <c r="MK804" s="1953">
        <f t="shared" si="329"/>
        <v>0</v>
      </c>
      <c r="ML804" s="1953">
        <f t="shared" si="330"/>
        <v>0</v>
      </c>
      <c r="MM804" s="1953">
        <f t="shared" si="331"/>
        <v>0</v>
      </c>
      <c r="MN804" s="1953">
        <f t="shared" si="332"/>
        <v>0</v>
      </c>
      <c r="MO804" s="1953">
        <f t="shared" si="333"/>
        <v>0</v>
      </c>
      <c r="MP804" s="1953">
        <f t="shared" si="334"/>
        <v>0</v>
      </c>
      <c r="MQ804" s="1953">
        <f t="shared" si="335"/>
        <v>0</v>
      </c>
      <c r="MR804" s="1953">
        <f t="shared" si="336"/>
        <v>0</v>
      </c>
      <c r="MS804" s="1953">
        <f t="shared" si="337"/>
        <v>0</v>
      </c>
    </row>
    <row r="805" spans="1:357">
      <c r="A805" s="1955" t="str">
        <f t="shared" si="0"/>
        <v/>
      </c>
      <c r="B805" s="1971">
        <f>'Part VI-Revenues &amp; Expenses'!B43</f>
        <v>0</v>
      </c>
      <c r="C805" s="1972">
        <f>'Part VI-Revenues &amp; Expenses'!C43</f>
        <v>0</v>
      </c>
      <c r="D805" s="1973">
        <f>'Part VI-Revenues &amp; Expenses'!D43</f>
        <v>0</v>
      </c>
      <c r="E805" s="1974">
        <f>'Part VI-Revenues &amp; Expenses'!E43</f>
        <v>0</v>
      </c>
      <c r="F805" s="1974">
        <f>'Part VI-Revenues &amp; Expenses'!F43</f>
        <v>0</v>
      </c>
      <c r="G805" s="1974">
        <f>'Part VI-Revenues &amp; Expenses'!G43</f>
        <v>0</v>
      </c>
      <c r="H805" s="1974">
        <f>'Part VI-Revenues &amp; Expenses'!H43</f>
        <v>0</v>
      </c>
      <c r="I805" s="1974">
        <f>'Part VI-Revenues &amp; Expenses'!I43</f>
        <v>0</v>
      </c>
      <c r="J805" s="1975">
        <f>'Part VI-Revenues &amp; Expenses'!J43</f>
        <v>0</v>
      </c>
      <c r="K805" s="1976">
        <f t="shared" si="1"/>
        <v>0</v>
      </c>
      <c r="L805" s="1976">
        <f t="shared" si="2"/>
        <v>0</v>
      </c>
      <c r="M805" s="1834">
        <f>'Part VI-Revenues &amp; Expenses'!M43</f>
        <v>0</v>
      </c>
      <c r="N805" s="1834">
        <f>'Part VI-Revenues &amp; Expenses'!N43</f>
        <v>0</v>
      </c>
      <c r="O805" s="1834">
        <f>'Part VI-Revenues &amp; Expenses'!O43</f>
        <v>0</v>
      </c>
      <c r="P805" s="1958">
        <f>'Part VI-Revenues &amp; Expenses'!P43</f>
        <v>0</v>
      </c>
      <c r="Q805" s="1977" t="str">
        <f>'Part VI-Revenues &amp; Expenses'!Q43</f>
        <v/>
      </c>
      <c r="R805" s="1978" t="str">
        <f>'Part VI-Revenues &amp; Expenses'!R43</f>
        <v/>
      </c>
      <c r="S805" s="1977">
        <f>'Part VI-Revenues &amp; Expenses'!S43</f>
        <v>0</v>
      </c>
      <c r="T805" s="1978">
        <f>'Part VI-Revenues &amp; Expenses'!T43</f>
        <v>0</v>
      </c>
      <c r="U805" s="1979">
        <f>'Part VI-Revenues &amp; Expenses'!U43:V43</f>
        <v>0</v>
      </c>
      <c r="V805" s="1979"/>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980" t="str">
        <f t="shared" si="202"/>
        <v/>
      </c>
      <c r="HZ805" s="1980" t="str">
        <f t="shared" si="203"/>
        <v/>
      </c>
      <c r="IA805" s="1980" t="str">
        <f t="shared" si="204"/>
        <v/>
      </c>
      <c r="IB805" s="1980" t="str">
        <f t="shared" si="205"/>
        <v/>
      </c>
      <c r="IC805" s="1980" t="str">
        <f t="shared" si="206"/>
        <v/>
      </c>
      <c r="ID805" s="1980" t="str">
        <f t="shared" si="207"/>
        <v/>
      </c>
      <c r="IE805" s="1980" t="str">
        <f t="shared" si="208"/>
        <v/>
      </c>
      <c r="IF805" s="1980" t="str">
        <f t="shared" si="209"/>
        <v/>
      </c>
      <c r="IG805" s="1980" t="str">
        <f t="shared" si="210"/>
        <v/>
      </c>
      <c r="IH805" s="1980" t="str">
        <f t="shared" si="211"/>
        <v/>
      </c>
      <c r="II805" s="1980" t="str">
        <f t="shared" si="212"/>
        <v/>
      </c>
      <c r="IJ805" s="1980" t="str">
        <f t="shared" si="213"/>
        <v/>
      </c>
      <c r="IK805" s="1980" t="str">
        <f t="shared" si="214"/>
        <v/>
      </c>
      <c r="IL805" s="1980" t="str">
        <f t="shared" si="215"/>
        <v/>
      </c>
      <c r="IM805" s="1980" t="str">
        <f t="shared" si="216"/>
        <v/>
      </c>
      <c r="IN805" s="1980" t="str">
        <f t="shared" si="217"/>
        <v/>
      </c>
      <c r="IO805" s="1980" t="str">
        <f t="shared" si="218"/>
        <v/>
      </c>
      <c r="IP805" s="1980" t="str">
        <f t="shared" si="219"/>
        <v/>
      </c>
      <c r="IQ805" s="1980" t="str">
        <f t="shared" si="220"/>
        <v/>
      </c>
      <c r="IR805" s="1980" t="str">
        <f t="shared" si="221"/>
        <v/>
      </c>
      <c r="IS805" s="1980" t="str">
        <f t="shared" si="222"/>
        <v/>
      </c>
      <c r="IT805" s="1980" t="str">
        <f t="shared" si="223"/>
        <v/>
      </c>
      <c r="IU805" s="1980" t="str">
        <f t="shared" si="224"/>
        <v/>
      </c>
      <c r="IV805" s="1980" t="str">
        <f t="shared" si="225"/>
        <v/>
      </c>
      <c r="IW805" s="1980" t="str">
        <f t="shared" si="226"/>
        <v/>
      </c>
      <c r="IX805" s="1980" t="str">
        <f t="shared" si="227"/>
        <v/>
      </c>
      <c r="IY805" s="1980" t="str">
        <f t="shared" si="228"/>
        <v/>
      </c>
      <c r="IZ805" s="1980" t="str">
        <f t="shared" si="229"/>
        <v/>
      </c>
      <c r="JA805" s="1980" t="str">
        <f t="shared" si="230"/>
        <v/>
      </c>
      <c r="JB805" s="1980" t="str">
        <f t="shared" si="231"/>
        <v/>
      </c>
      <c r="JC805" s="1980" t="str">
        <f t="shared" si="232"/>
        <v/>
      </c>
      <c r="JD805" s="1980" t="str">
        <f t="shared" si="233"/>
        <v/>
      </c>
      <c r="JE805" s="1980" t="str">
        <f t="shared" si="234"/>
        <v/>
      </c>
      <c r="JF805" s="1980" t="str">
        <f t="shared" si="235"/>
        <v/>
      </c>
      <c r="JG805" s="1980" t="str">
        <f t="shared" si="236"/>
        <v/>
      </c>
      <c r="JH805" s="1980" t="str">
        <f t="shared" si="237"/>
        <v/>
      </c>
      <c r="JI805" s="1980" t="str">
        <f t="shared" si="238"/>
        <v/>
      </c>
      <c r="JJ805" s="1980" t="str">
        <f t="shared" si="239"/>
        <v/>
      </c>
      <c r="JK805" s="1980" t="str">
        <f t="shared" si="240"/>
        <v/>
      </c>
      <c r="JL805" s="1980" t="str">
        <f t="shared" si="241"/>
        <v/>
      </c>
      <c r="JM805" s="1980" t="str">
        <f t="shared" si="242"/>
        <v/>
      </c>
      <c r="JN805" s="1980" t="str">
        <f t="shared" si="243"/>
        <v/>
      </c>
      <c r="JO805" s="1980" t="str">
        <f t="shared" si="244"/>
        <v/>
      </c>
      <c r="JP805" s="1980" t="str">
        <f t="shared" si="245"/>
        <v/>
      </c>
      <c r="JQ805" s="1980" t="str">
        <f t="shared" si="246"/>
        <v/>
      </c>
      <c r="JR805" s="1980" t="str">
        <f t="shared" si="247"/>
        <v/>
      </c>
      <c r="JS805" s="1980" t="str">
        <f t="shared" si="248"/>
        <v/>
      </c>
      <c r="JT805" s="1980" t="str">
        <f t="shared" si="249"/>
        <v/>
      </c>
      <c r="JU805" s="1980" t="str">
        <f t="shared" si="250"/>
        <v/>
      </c>
      <c r="JV805" s="1980" t="str">
        <f t="shared" si="251"/>
        <v/>
      </c>
      <c r="JW805" s="1980" t="str">
        <f t="shared" si="252"/>
        <v/>
      </c>
      <c r="JX805" s="1980" t="str">
        <f t="shared" si="253"/>
        <v/>
      </c>
      <c r="JY805" s="1980" t="str">
        <f t="shared" si="254"/>
        <v/>
      </c>
      <c r="JZ805" s="1980" t="str">
        <f t="shared" si="255"/>
        <v/>
      </c>
      <c r="KA805" s="1980" t="str">
        <f t="shared" si="256"/>
        <v/>
      </c>
      <c r="KB805" s="1980" t="str">
        <f t="shared" si="257"/>
        <v/>
      </c>
      <c r="KC805" s="1980" t="str">
        <f t="shared" si="258"/>
        <v/>
      </c>
      <c r="KD805" s="1980" t="str">
        <f t="shared" si="259"/>
        <v/>
      </c>
      <c r="KE805" s="1980" t="str">
        <f t="shared" si="260"/>
        <v/>
      </c>
      <c r="KF805" s="1980" t="str">
        <f t="shared" si="261"/>
        <v/>
      </c>
      <c r="KG805" s="1980" t="str">
        <f t="shared" si="262"/>
        <v/>
      </c>
      <c r="KH805" s="1980" t="str">
        <f t="shared" si="263"/>
        <v/>
      </c>
      <c r="KI805" s="1980" t="str">
        <f t="shared" si="264"/>
        <v/>
      </c>
      <c r="KJ805" s="1980" t="str">
        <f t="shared" si="265"/>
        <v/>
      </c>
      <c r="KK805" s="1980" t="str">
        <f t="shared" si="266"/>
        <v/>
      </c>
      <c r="KL805" s="1980" t="str">
        <f t="shared" si="267"/>
        <v/>
      </c>
      <c r="KM805" s="1980" t="str">
        <f t="shared" si="268"/>
        <v/>
      </c>
      <c r="KN805" s="1980" t="str">
        <f t="shared" si="269"/>
        <v/>
      </c>
      <c r="KO805" s="1980" t="str">
        <f t="shared" si="270"/>
        <v/>
      </c>
      <c r="KP805" s="1980" t="str">
        <f t="shared" si="271"/>
        <v/>
      </c>
      <c r="KQ805" s="1980" t="str">
        <f t="shared" si="272"/>
        <v/>
      </c>
      <c r="KR805" s="1980" t="str">
        <f t="shared" si="273"/>
        <v/>
      </c>
      <c r="KS805" s="1980" t="str">
        <f t="shared" si="274"/>
        <v/>
      </c>
      <c r="KT805" s="1980" t="str">
        <f t="shared" si="275"/>
        <v/>
      </c>
      <c r="KU805" s="1980" t="str">
        <f t="shared" si="276"/>
        <v/>
      </c>
      <c r="KV805" s="1980" t="str">
        <f t="shared" si="277"/>
        <v/>
      </c>
      <c r="KW805" s="1980" t="str">
        <f t="shared" si="278"/>
        <v/>
      </c>
      <c r="KX805" s="1980" t="str">
        <f t="shared" si="279"/>
        <v/>
      </c>
      <c r="KY805" s="1980" t="str">
        <f t="shared" si="280"/>
        <v/>
      </c>
      <c r="KZ805" s="1980" t="str">
        <f t="shared" si="281"/>
        <v/>
      </c>
      <c r="LA805" s="1980" t="str">
        <f t="shared" si="282"/>
        <v/>
      </c>
      <c r="LB805" s="1980" t="str">
        <f t="shared" si="283"/>
        <v/>
      </c>
      <c r="LC805" s="1980" t="str">
        <f t="shared" si="284"/>
        <v/>
      </c>
      <c r="LD805" s="1980" t="str">
        <f t="shared" si="285"/>
        <v/>
      </c>
      <c r="LE805" s="1980" t="str">
        <f t="shared" si="286"/>
        <v/>
      </c>
      <c r="LF805" s="1953" t="str">
        <f t="shared" si="287"/>
        <v/>
      </c>
      <c r="LG805" s="1953" t="str">
        <f t="shared" si="288"/>
        <v/>
      </c>
      <c r="LH805" s="1953" t="str">
        <f t="shared" si="289"/>
        <v/>
      </c>
      <c r="LI805" s="1953" t="str">
        <f t="shared" si="290"/>
        <v/>
      </c>
      <c r="LJ805" s="1953"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953">
        <f t="shared" si="323"/>
        <v>0</v>
      </c>
      <c r="MF805" s="1953">
        <f t="shared" si="324"/>
        <v>0</v>
      </c>
      <c r="MG805" s="1953">
        <f t="shared" si="325"/>
        <v>0</v>
      </c>
      <c r="MH805" s="1953">
        <f t="shared" si="326"/>
        <v>0</v>
      </c>
      <c r="MI805" s="1953">
        <f t="shared" si="327"/>
        <v>0</v>
      </c>
      <c r="MJ805" s="1953">
        <f t="shared" si="328"/>
        <v>0</v>
      </c>
      <c r="MK805" s="1953">
        <f t="shared" si="329"/>
        <v>0</v>
      </c>
      <c r="ML805" s="1953">
        <f t="shared" si="330"/>
        <v>0</v>
      </c>
      <c r="MM805" s="1953">
        <f t="shared" si="331"/>
        <v>0</v>
      </c>
      <c r="MN805" s="1953">
        <f t="shared" si="332"/>
        <v>0</v>
      </c>
      <c r="MO805" s="1953">
        <f t="shared" si="333"/>
        <v>0</v>
      </c>
      <c r="MP805" s="1953">
        <f t="shared" si="334"/>
        <v>0</v>
      </c>
      <c r="MQ805" s="1953">
        <f t="shared" si="335"/>
        <v>0</v>
      </c>
      <c r="MR805" s="1953">
        <f t="shared" si="336"/>
        <v>0</v>
      </c>
      <c r="MS805" s="1953">
        <f t="shared" si="337"/>
        <v>0</v>
      </c>
    </row>
    <row r="806" spans="1:357">
      <c r="A806" s="1955" t="str">
        <f t="shared" si="0"/>
        <v/>
      </c>
      <c r="B806" s="1971">
        <f>'Part VI-Revenues &amp; Expenses'!B44</f>
        <v>0</v>
      </c>
      <c r="C806" s="1972">
        <f>'Part VI-Revenues &amp; Expenses'!C44</f>
        <v>0</v>
      </c>
      <c r="D806" s="1973">
        <f>'Part VI-Revenues &amp; Expenses'!D44</f>
        <v>0</v>
      </c>
      <c r="E806" s="1974">
        <f>'Part VI-Revenues &amp; Expenses'!E44</f>
        <v>0</v>
      </c>
      <c r="F806" s="1974">
        <f>'Part VI-Revenues &amp; Expenses'!F44</f>
        <v>0</v>
      </c>
      <c r="G806" s="1974">
        <f>'Part VI-Revenues &amp; Expenses'!G44</f>
        <v>0</v>
      </c>
      <c r="H806" s="1974">
        <f>'Part VI-Revenues &amp; Expenses'!H44</f>
        <v>0</v>
      </c>
      <c r="I806" s="1974">
        <f>'Part VI-Revenues &amp; Expenses'!I44</f>
        <v>0</v>
      </c>
      <c r="J806" s="1975">
        <f>'Part VI-Revenues &amp; Expenses'!J44</f>
        <v>0</v>
      </c>
      <c r="K806" s="1976">
        <f t="shared" si="1"/>
        <v>0</v>
      </c>
      <c r="L806" s="1976">
        <f t="shared" si="2"/>
        <v>0</v>
      </c>
      <c r="M806" s="1834">
        <f>'Part VI-Revenues &amp; Expenses'!M44</f>
        <v>0</v>
      </c>
      <c r="N806" s="1834">
        <f>'Part VI-Revenues &amp; Expenses'!N44</f>
        <v>0</v>
      </c>
      <c r="O806" s="1834">
        <f>'Part VI-Revenues &amp; Expenses'!O44</f>
        <v>0</v>
      </c>
      <c r="P806" s="1958">
        <f>'Part VI-Revenues &amp; Expenses'!P44</f>
        <v>0</v>
      </c>
      <c r="Q806" s="1977" t="str">
        <f>'Part VI-Revenues &amp; Expenses'!Q44</f>
        <v/>
      </c>
      <c r="R806" s="1978" t="str">
        <f>'Part VI-Revenues &amp; Expenses'!R44</f>
        <v/>
      </c>
      <c r="S806" s="1977">
        <f>'Part VI-Revenues &amp; Expenses'!S44</f>
        <v>0</v>
      </c>
      <c r="T806" s="1978">
        <f>'Part VI-Revenues &amp; Expenses'!T44</f>
        <v>0</v>
      </c>
      <c r="U806" s="1979">
        <f>'Part VI-Revenues &amp; Expenses'!U44:V44</f>
        <v>0</v>
      </c>
      <c r="V806" s="1979"/>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980" t="str">
        <f t="shared" si="202"/>
        <v/>
      </c>
      <c r="HZ806" s="1980" t="str">
        <f t="shared" si="203"/>
        <v/>
      </c>
      <c r="IA806" s="1980" t="str">
        <f t="shared" si="204"/>
        <v/>
      </c>
      <c r="IB806" s="1980" t="str">
        <f t="shared" si="205"/>
        <v/>
      </c>
      <c r="IC806" s="1980" t="str">
        <f t="shared" si="206"/>
        <v/>
      </c>
      <c r="ID806" s="1980" t="str">
        <f t="shared" si="207"/>
        <v/>
      </c>
      <c r="IE806" s="1980" t="str">
        <f t="shared" si="208"/>
        <v/>
      </c>
      <c r="IF806" s="1980" t="str">
        <f t="shared" si="209"/>
        <v/>
      </c>
      <c r="IG806" s="1980" t="str">
        <f t="shared" si="210"/>
        <v/>
      </c>
      <c r="IH806" s="1980" t="str">
        <f t="shared" si="211"/>
        <v/>
      </c>
      <c r="II806" s="1980" t="str">
        <f t="shared" si="212"/>
        <v/>
      </c>
      <c r="IJ806" s="1980" t="str">
        <f t="shared" si="213"/>
        <v/>
      </c>
      <c r="IK806" s="1980" t="str">
        <f t="shared" si="214"/>
        <v/>
      </c>
      <c r="IL806" s="1980" t="str">
        <f t="shared" si="215"/>
        <v/>
      </c>
      <c r="IM806" s="1980" t="str">
        <f t="shared" si="216"/>
        <v/>
      </c>
      <c r="IN806" s="1980" t="str">
        <f t="shared" si="217"/>
        <v/>
      </c>
      <c r="IO806" s="1980" t="str">
        <f t="shared" si="218"/>
        <v/>
      </c>
      <c r="IP806" s="1980" t="str">
        <f t="shared" si="219"/>
        <v/>
      </c>
      <c r="IQ806" s="1980" t="str">
        <f t="shared" si="220"/>
        <v/>
      </c>
      <c r="IR806" s="1980" t="str">
        <f t="shared" si="221"/>
        <v/>
      </c>
      <c r="IS806" s="1980" t="str">
        <f t="shared" si="222"/>
        <v/>
      </c>
      <c r="IT806" s="1980" t="str">
        <f t="shared" si="223"/>
        <v/>
      </c>
      <c r="IU806" s="1980" t="str">
        <f t="shared" si="224"/>
        <v/>
      </c>
      <c r="IV806" s="1980" t="str">
        <f t="shared" si="225"/>
        <v/>
      </c>
      <c r="IW806" s="1980" t="str">
        <f t="shared" si="226"/>
        <v/>
      </c>
      <c r="IX806" s="1980" t="str">
        <f t="shared" si="227"/>
        <v/>
      </c>
      <c r="IY806" s="1980" t="str">
        <f t="shared" si="228"/>
        <v/>
      </c>
      <c r="IZ806" s="1980" t="str">
        <f t="shared" si="229"/>
        <v/>
      </c>
      <c r="JA806" s="1980" t="str">
        <f t="shared" si="230"/>
        <v/>
      </c>
      <c r="JB806" s="1980" t="str">
        <f t="shared" si="231"/>
        <v/>
      </c>
      <c r="JC806" s="1980" t="str">
        <f t="shared" si="232"/>
        <v/>
      </c>
      <c r="JD806" s="1980" t="str">
        <f t="shared" si="233"/>
        <v/>
      </c>
      <c r="JE806" s="1980" t="str">
        <f t="shared" si="234"/>
        <v/>
      </c>
      <c r="JF806" s="1980" t="str">
        <f t="shared" si="235"/>
        <v/>
      </c>
      <c r="JG806" s="1980" t="str">
        <f t="shared" si="236"/>
        <v/>
      </c>
      <c r="JH806" s="1980" t="str">
        <f t="shared" si="237"/>
        <v/>
      </c>
      <c r="JI806" s="1980" t="str">
        <f t="shared" si="238"/>
        <v/>
      </c>
      <c r="JJ806" s="1980" t="str">
        <f t="shared" si="239"/>
        <v/>
      </c>
      <c r="JK806" s="1980" t="str">
        <f t="shared" si="240"/>
        <v/>
      </c>
      <c r="JL806" s="1980" t="str">
        <f t="shared" si="241"/>
        <v/>
      </c>
      <c r="JM806" s="1980" t="str">
        <f t="shared" si="242"/>
        <v/>
      </c>
      <c r="JN806" s="1980" t="str">
        <f t="shared" si="243"/>
        <v/>
      </c>
      <c r="JO806" s="1980" t="str">
        <f t="shared" si="244"/>
        <v/>
      </c>
      <c r="JP806" s="1980" t="str">
        <f t="shared" si="245"/>
        <v/>
      </c>
      <c r="JQ806" s="1980" t="str">
        <f t="shared" si="246"/>
        <v/>
      </c>
      <c r="JR806" s="1980" t="str">
        <f t="shared" si="247"/>
        <v/>
      </c>
      <c r="JS806" s="1980" t="str">
        <f t="shared" si="248"/>
        <v/>
      </c>
      <c r="JT806" s="1980" t="str">
        <f t="shared" si="249"/>
        <v/>
      </c>
      <c r="JU806" s="1980" t="str">
        <f t="shared" si="250"/>
        <v/>
      </c>
      <c r="JV806" s="1980" t="str">
        <f t="shared" si="251"/>
        <v/>
      </c>
      <c r="JW806" s="1980" t="str">
        <f t="shared" si="252"/>
        <v/>
      </c>
      <c r="JX806" s="1980" t="str">
        <f t="shared" si="253"/>
        <v/>
      </c>
      <c r="JY806" s="1980" t="str">
        <f t="shared" si="254"/>
        <v/>
      </c>
      <c r="JZ806" s="1980" t="str">
        <f t="shared" si="255"/>
        <v/>
      </c>
      <c r="KA806" s="1980" t="str">
        <f t="shared" si="256"/>
        <v/>
      </c>
      <c r="KB806" s="1980" t="str">
        <f t="shared" si="257"/>
        <v/>
      </c>
      <c r="KC806" s="1980" t="str">
        <f t="shared" si="258"/>
        <v/>
      </c>
      <c r="KD806" s="1980" t="str">
        <f t="shared" si="259"/>
        <v/>
      </c>
      <c r="KE806" s="1980" t="str">
        <f t="shared" si="260"/>
        <v/>
      </c>
      <c r="KF806" s="1980" t="str">
        <f t="shared" si="261"/>
        <v/>
      </c>
      <c r="KG806" s="1980" t="str">
        <f t="shared" si="262"/>
        <v/>
      </c>
      <c r="KH806" s="1980" t="str">
        <f t="shared" si="263"/>
        <v/>
      </c>
      <c r="KI806" s="1980" t="str">
        <f t="shared" si="264"/>
        <v/>
      </c>
      <c r="KJ806" s="1980" t="str">
        <f t="shared" si="265"/>
        <v/>
      </c>
      <c r="KK806" s="1980" t="str">
        <f t="shared" si="266"/>
        <v/>
      </c>
      <c r="KL806" s="1980" t="str">
        <f t="shared" si="267"/>
        <v/>
      </c>
      <c r="KM806" s="1980" t="str">
        <f t="shared" si="268"/>
        <v/>
      </c>
      <c r="KN806" s="1980" t="str">
        <f t="shared" si="269"/>
        <v/>
      </c>
      <c r="KO806" s="1980" t="str">
        <f t="shared" si="270"/>
        <v/>
      </c>
      <c r="KP806" s="1980" t="str">
        <f t="shared" si="271"/>
        <v/>
      </c>
      <c r="KQ806" s="1980" t="str">
        <f t="shared" si="272"/>
        <v/>
      </c>
      <c r="KR806" s="1980" t="str">
        <f t="shared" si="273"/>
        <v/>
      </c>
      <c r="KS806" s="1980" t="str">
        <f t="shared" si="274"/>
        <v/>
      </c>
      <c r="KT806" s="1980" t="str">
        <f t="shared" si="275"/>
        <v/>
      </c>
      <c r="KU806" s="1980" t="str">
        <f t="shared" si="276"/>
        <v/>
      </c>
      <c r="KV806" s="1980" t="str">
        <f t="shared" si="277"/>
        <v/>
      </c>
      <c r="KW806" s="1980" t="str">
        <f t="shared" si="278"/>
        <v/>
      </c>
      <c r="KX806" s="1980" t="str">
        <f t="shared" si="279"/>
        <v/>
      </c>
      <c r="KY806" s="1980" t="str">
        <f t="shared" si="280"/>
        <v/>
      </c>
      <c r="KZ806" s="1980" t="str">
        <f t="shared" si="281"/>
        <v/>
      </c>
      <c r="LA806" s="1980" t="str">
        <f t="shared" si="282"/>
        <v/>
      </c>
      <c r="LB806" s="1980" t="str">
        <f t="shared" si="283"/>
        <v/>
      </c>
      <c r="LC806" s="1980" t="str">
        <f t="shared" si="284"/>
        <v/>
      </c>
      <c r="LD806" s="1980" t="str">
        <f t="shared" si="285"/>
        <v/>
      </c>
      <c r="LE806" s="1980" t="str">
        <f t="shared" si="286"/>
        <v/>
      </c>
      <c r="LF806" s="1953" t="str">
        <f t="shared" si="287"/>
        <v/>
      </c>
      <c r="LG806" s="1953" t="str">
        <f t="shared" si="288"/>
        <v/>
      </c>
      <c r="LH806" s="1953" t="str">
        <f t="shared" si="289"/>
        <v/>
      </c>
      <c r="LI806" s="1953" t="str">
        <f t="shared" si="290"/>
        <v/>
      </c>
      <c r="LJ806" s="1953"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953">
        <f t="shared" si="323"/>
        <v>0</v>
      </c>
      <c r="MF806" s="1953">
        <f t="shared" si="324"/>
        <v>0</v>
      </c>
      <c r="MG806" s="1953">
        <f t="shared" si="325"/>
        <v>0</v>
      </c>
      <c r="MH806" s="1953">
        <f t="shared" si="326"/>
        <v>0</v>
      </c>
      <c r="MI806" s="1953">
        <f t="shared" si="327"/>
        <v>0</v>
      </c>
      <c r="MJ806" s="1953">
        <f t="shared" si="328"/>
        <v>0</v>
      </c>
      <c r="MK806" s="1953">
        <f t="shared" si="329"/>
        <v>0</v>
      </c>
      <c r="ML806" s="1953">
        <f t="shared" si="330"/>
        <v>0</v>
      </c>
      <c r="MM806" s="1953">
        <f t="shared" si="331"/>
        <v>0</v>
      </c>
      <c r="MN806" s="1953">
        <f t="shared" si="332"/>
        <v>0</v>
      </c>
      <c r="MO806" s="1953">
        <f t="shared" si="333"/>
        <v>0</v>
      </c>
      <c r="MP806" s="1953">
        <f t="shared" si="334"/>
        <v>0</v>
      </c>
      <c r="MQ806" s="1953">
        <f t="shared" si="335"/>
        <v>0</v>
      </c>
      <c r="MR806" s="1953">
        <f t="shared" si="336"/>
        <v>0</v>
      </c>
      <c r="MS806" s="1953">
        <f t="shared" si="337"/>
        <v>0</v>
      </c>
    </row>
    <row r="807" spans="1:357">
      <c r="A807" s="1955" t="str">
        <f t="shared" si="0"/>
        <v/>
      </c>
      <c r="B807" s="1971">
        <f>'Part VI-Revenues &amp; Expenses'!B45</f>
        <v>0</v>
      </c>
      <c r="C807" s="1972">
        <f>'Part VI-Revenues &amp; Expenses'!C45</f>
        <v>0</v>
      </c>
      <c r="D807" s="1973">
        <f>'Part VI-Revenues &amp; Expenses'!D45</f>
        <v>0</v>
      </c>
      <c r="E807" s="1974">
        <f>'Part VI-Revenues &amp; Expenses'!E45</f>
        <v>0</v>
      </c>
      <c r="F807" s="1974">
        <f>'Part VI-Revenues &amp; Expenses'!F45</f>
        <v>0</v>
      </c>
      <c r="G807" s="1974">
        <f>'Part VI-Revenues &amp; Expenses'!G45</f>
        <v>0</v>
      </c>
      <c r="H807" s="1974">
        <f>'Part VI-Revenues &amp; Expenses'!H45</f>
        <v>0</v>
      </c>
      <c r="I807" s="1974">
        <f>'Part VI-Revenues &amp; Expenses'!I45</f>
        <v>0</v>
      </c>
      <c r="J807" s="1975">
        <f>'Part VI-Revenues &amp; Expenses'!J45</f>
        <v>0</v>
      </c>
      <c r="K807" s="1976">
        <f t="shared" si="1"/>
        <v>0</v>
      </c>
      <c r="L807" s="1976">
        <f t="shared" si="2"/>
        <v>0</v>
      </c>
      <c r="M807" s="1834">
        <f>'Part VI-Revenues &amp; Expenses'!M45</f>
        <v>0</v>
      </c>
      <c r="N807" s="1834">
        <f>'Part VI-Revenues &amp; Expenses'!N45</f>
        <v>0</v>
      </c>
      <c r="O807" s="1834">
        <f>'Part VI-Revenues &amp; Expenses'!O45</f>
        <v>0</v>
      </c>
      <c r="P807" s="1958">
        <f>'Part VI-Revenues &amp; Expenses'!P45</f>
        <v>0</v>
      </c>
      <c r="Q807" s="1977" t="str">
        <f>'Part VI-Revenues &amp; Expenses'!Q45</f>
        <v/>
      </c>
      <c r="R807" s="1978" t="str">
        <f>'Part VI-Revenues &amp; Expenses'!R45</f>
        <v/>
      </c>
      <c r="S807" s="1977">
        <f>'Part VI-Revenues &amp; Expenses'!S45</f>
        <v>0</v>
      </c>
      <c r="T807" s="1978">
        <f>'Part VI-Revenues &amp; Expenses'!T45</f>
        <v>0</v>
      </c>
      <c r="U807" s="1979">
        <f>'Part VI-Revenues &amp; Expenses'!U45:V45</f>
        <v>0</v>
      </c>
      <c r="V807" s="1979"/>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980" t="str">
        <f t="shared" si="202"/>
        <v/>
      </c>
      <c r="HZ807" s="1980" t="str">
        <f t="shared" si="203"/>
        <v/>
      </c>
      <c r="IA807" s="1980" t="str">
        <f t="shared" si="204"/>
        <v/>
      </c>
      <c r="IB807" s="1980" t="str">
        <f t="shared" si="205"/>
        <v/>
      </c>
      <c r="IC807" s="1980" t="str">
        <f t="shared" si="206"/>
        <v/>
      </c>
      <c r="ID807" s="1980" t="str">
        <f t="shared" si="207"/>
        <v/>
      </c>
      <c r="IE807" s="1980" t="str">
        <f t="shared" si="208"/>
        <v/>
      </c>
      <c r="IF807" s="1980" t="str">
        <f t="shared" si="209"/>
        <v/>
      </c>
      <c r="IG807" s="1980" t="str">
        <f t="shared" si="210"/>
        <v/>
      </c>
      <c r="IH807" s="1980" t="str">
        <f t="shared" si="211"/>
        <v/>
      </c>
      <c r="II807" s="1980" t="str">
        <f t="shared" si="212"/>
        <v/>
      </c>
      <c r="IJ807" s="1980" t="str">
        <f t="shared" si="213"/>
        <v/>
      </c>
      <c r="IK807" s="1980" t="str">
        <f t="shared" si="214"/>
        <v/>
      </c>
      <c r="IL807" s="1980" t="str">
        <f t="shared" si="215"/>
        <v/>
      </c>
      <c r="IM807" s="1980" t="str">
        <f t="shared" si="216"/>
        <v/>
      </c>
      <c r="IN807" s="1980" t="str">
        <f t="shared" si="217"/>
        <v/>
      </c>
      <c r="IO807" s="1980" t="str">
        <f t="shared" si="218"/>
        <v/>
      </c>
      <c r="IP807" s="1980" t="str">
        <f t="shared" si="219"/>
        <v/>
      </c>
      <c r="IQ807" s="1980" t="str">
        <f t="shared" si="220"/>
        <v/>
      </c>
      <c r="IR807" s="1980" t="str">
        <f t="shared" si="221"/>
        <v/>
      </c>
      <c r="IS807" s="1980" t="str">
        <f t="shared" si="222"/>
        <v/>
      </c>
      <c r="IT807" s="1980" t="str">
        <f t="shared" si="223"/>
        <v/>
      </c>
      <c r="IU807" s="1980" t="str">
        <f t="shared" si="224"/>
        <v/>
      </c>
      <c r="IV807" s="1980" t="str">
        <f t="shared" si="225"/>
        <v/>
      </c>
      <c r="IW807" s="1980" t="str">
        <f t="shared" si="226"/>
        <v/>
      </c>
      <c r="IX807" s="1980" t="str">
        <f t="shared" si="227"/>
        <v/>
      </c>
      <c r="IY807" s="1980" t="str">
        <f t="shared" si="228"/>
        <v/>
      </c>
      <c r="IZ807" s="1980" t="str">
        <f t="shared" si="229"/>
        <v/>
      </c>
      <c r="JA807" s="1980" t="str">
        <f t="shared" si="230"/>
        <v/>
      </c>
      <c r="JB807" s="1980" t="str">
        <f t="shared" si="231"/>
        <v/>
      </c>
      <c r="JC807" s="1980" t="str">
        <f t="shared" si="232"/>
        <v/>
      </c>
      <c r="JD807" s="1980" t="str">
        <f t="shared" si="233"/>
        <v/>
      </c>
      <c r="JE807" s="1980" t="str">
        <f t="shared" si="234"/>
        <v/>
      </c>
      <c r="JF807" s="1980" t="str">
        <f t="shared" si="235"/>
        <v/>
      </c>
      <c r="JG807" s="1980" t="str">
        <f t="shared" si="236"/>
        <v/>
      </c>
      <c r="JH807" s="1980" t="str">
        <f t="shared" si="237"/>
        <v/>
      </c>
      <c r="JI807" s="1980" t="str">
        <f t="shared" si="238"/>
        <v/>
      </c>
      <c r="JJ807" s="1980" t="str">
        <f t="shared" si="239"/>
        <v/>
      </c>
      <c r="JK807" s="1980" t="str">
        <f t="shared" si="240"/>
        <v/>
      </c>
      <c r="JL807" s="1980" t="str">
        <f t="shared" si="241"/>
        <v/>
      </c>
      <c r="JM807" s="1980" t="str">
        <f t="shared" si="242"/>
        <v/>
      </c>
      <c r="JN807" s="1980" t="str">
        <f t="shared" si="243"/>
        <v/>
      </c>
      <c r="JO807" s="1980" t="str">
        <f t="shared" si="244"/>
        <v/>
      </c>
      <c r="JP807" s="1980" t="str">
        <f t="shared" si="245"/>
        <v/>
      </c>
      <c r="JQ807" s="1980" t="str">
        <f t="shared" si="246"/>
        <v/>
      </c>
      <c r="JR807" s="1980" t="str">
        <f t="shared" si="247"/>
        <v/>
      </c>
      <c r="JS807" s="1980" t="str">
        <f t="shared" si="248"/>
        <v/>
      </c>
      <c r="JT807" s="1980" t="str">
        <f t="shared" si="249"/>
        <v/>
      </c>
      <c r="JU807" s="1980" t="str">
        <f t="shared" si="250"/>
        <v/>
      </c>
      <c r="JV807" s="1980" t="str">
        <f t="shared" si="251"/>
        <v/>
      </c>
      <c r="JW807" s="1980" t="str">
        <f t="shared" si="252"/>
        <v/>
      </c>
      <c r="JX807" s="1980" t="str">
        <f t="shared" si="253"/>
        <v/>
      </c>
      <c r="JY807" s="1980" t="str">
        <f t="shared" si="254"/>
        <v/>
      </c>
      <c r="JZ807" s="1980" t="str">
        <f t="shared" si="255"/>
        <v/>
      </c>
      <c r="KA807" s="1980" t="str">
        <f t="shared" si="256"/>
        <v/>
      </c>
      <c r="KB807" s="1980" t="str">
        <f t="shared" si="257"/>
        <v/>
      </c>
      <c r="KC807" s="1980" t="str">
        <f t="shared" si="258"/>
        <v/>
      </c>
      <c r="KD807" s="1980" t="str">
        <f t="shared" si="259"/>
        <v/>
      </c>
      <c r="KE807" s="1980" t="str">
        <f t="shared" si="260"/>
        <v/>
      </c>
      <c r="KF807" s="1980" t="str">
        <f t="shared" si="261"/>
        <v/>
      </c>
      <c r="KG807" s="1980" t="str">
        <f t="shared" si="262"/>
        <v/>
      </c>
      <c r="KH807" s="1980" t="str">
        <f t="shared" si="263"/>
        <v/>
      </c>
      <c r="KI807" s="1980" t="str">
        <f t="shared" si="264"/>
        <v/>
      </c>
      <c r="KJ807" s="1980" t="str">
        <f t="shared" si="265"/>
        <v/>
      </c>
      <c r="KK807" s="1980" t="str">
        <f t="shared" si="266"/>
        <v/>
      </c>
      <c r="KL807" s="1980" t="str">
        <f t="shared" si="267"/>
        <v/>
      </c>
      <c r="KM807" s="1980" t="str">
        <f t="shared" si="268"/>
        <v/>
      </c>
      <c r="KN807" s="1980" t="str">
        <f t="shared" si="269"/>
        <v/>
      </c>
      <c r="KO807" s="1980" t="str">
        <f t="shared" si="270"/>
        <v/>
      </c>
      <c r="KP807" s="1980" t="str">
        <f t="shared" si="271"/>
        <v/>
      </c>
      <c r="KQ807" s="1980" t="str">
        <f t="shared" si="272"/>
        <v/>
      </c>
      <c r="KR807" s="1980" t="str">
        <f t="shared" si="273"/>
        <v/>
      </c>
      <c r="KS807" s="1980" t="str">
        <f t="shared" si="274"/>
        <v/>
      </c>
      <c r="KT807" s="1980" t="str">
        <f t="shared" si="275"/>
        <v/>
      </c>
      <c r="KU807" s="1980" t="str">
        <f t="shared" si="276"/>
        <v/>
      </c>
      <c r="KV807" s="1980" t="str">
        <f t="shared" si="277"/>
        <v/>
      </c>
      <c r="KW807" s="1980" t="str">
        <f t="shared" si="278"/>
        <v/>
      </c>
      <c r="KX807" s="1980" t="str">
        <f t="shared" si="279"/>
        <v/>
      </c>
      <c r="KY807" s="1980" t="str">
        <f t="shared" si="280"/>
        <v/>
      </c>
      <c r="KZ807" s="1980" t="str">
        <f t="shared" si="281"/>
        <v/>
      </c>
      <c r="LA807" s="1980" t="str">
        <f t="shared" si="282"/>
        <v/>
      </c>
      <c r="LB807" s="1980" t="str">
        <f t="shared" si="283"/>
        <v/>
      </c>
      <c r="LC807" s="1980" t="str">
        <f t="shared" si="284"/>
        <v/>
      </c>
      <c r="LD807" s="1980" t="str">
        <f t="shared" si="285"/>
        <v/>
      </c>
      <c r="LE807" s="1980" t="str">
        <f t="shared" si="286"/>
        <v/>
      </c>
      <c r="LF807" s="1953" t="str">
        <f t="shared" si="287"/>
        <v/>
      </c>
      <c r="LG807" s="1953" t="str">
        <f t="shared" si="288"/>
        <v/>
      </c>
      <c r="LH807" s="1953" t="str">
        <f t="shared" si="289"/>
        <v/>
      </c>
      <c r="LI807" s="1953" t="str">
        <f t="shared" si="290"/>
        <v/>
      </c>
      <c r="LJ807" s="1953"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953">
        <f t="shared" si="323"/>
        <v>0</v>
      </c>
      <c r="MF807" s="1953">
        <f t="shared" si="324"/>
        <v>0</v>
      </c>
      <c r="MG807" s="1953">
        <f t="shared" si="325"/>
        <v>0</v>
      </c>
      <c r="MH807" s="1953">
        <f t="shared" si="326"/>
        <v>0</v>
      </c>
      <c r="MI807" s="1953">
        <f t="shared" si="327"/>
        <v>0</v>
      </c>
      <c r="MJ807" s="1953">
        <f t="shared" si="328"/>
        <v>0</v>
      </c>
      <c r="MK807" s="1953">
        <f t="shared" si="329"/>
        <v>0</v>
      </c>
      <c r="ML807" s="1953">
        <f t="shared" si="330"/>
        <v>0</v>
      </c>
      <c r="MM807" s="1953">
        <f t="shared" si="331"/>
        <v>0</v>
      </c>
      <c r="MN807" s="1953">
        <f t="shared" si="332"/>
        <v>0</v>
      </c>
      <c r="MO807" s="1953">
        <f t="shared" si="333"/>
        <v>0</v>
      </c>
      <c r="MP807" s="1953">
        <f t="shared" si="334"/>
        <v>0</v>
      </c>
      <c r="MQ807" s="1953">
        <f t="shared" si="335"/>
        <v>0</v>
      </c>
      <c r="MR807" s="1953">
        <f t="shared" si="336"/>
        <v>0</v>
      </c>
      <c r="MS807" s="1953">
        <f t="shared" si="337"/>
        <v>0</v>
      </c>
    </row>
    <row r="808" spans="1:357">
      <c r="A808" s="1955" t="str">
        <f t="shared" si="0"/>
        <v/>
      </c>
      <c r="B808" s="1971">
        <f>'Part VI-Revenues &amp; Expenses'!B46</f>
        <v>0</v>
      </c>
      <c r="C808" s="1972">
        <f>'Part VI-Revenues &amp; Expenses'!C46</f>
        <v>0</v>
      </c>
      <c r="D808" s="1973">
        <f>'Part VI-Revenues &amp; Expenses'!D46</f>
        <v>0</v>
      </c>
      <c r="E808" s="1974">
        <f>'Part VI-Revenues &amp; Expenses'!E46</f>
        <v>0</v>
      </c>
      <c r="F808" s="1974">
        <f>'Part VI-Revenues &amp; Expenses'!F46</f>
        <v>0</v>
      </c>
      <c r="G808" s="1974">
        <f>'Part VI-Revenues &amp; Expenses'!G46</f>
        <v>0</v>
      </c>
      <c r="H808" s="1974">
        <f>'Part VI-Revenues &amp; Expenses'!H46</f>
        <v>0</v>
      </c>
      <c r="I808" s="1974">
        <f>'Part VI-Revenues &amp; Expenses'!I46</f>
        <v>0</v>
      </c>
      <c r="J808" s="1975">
        <f>'Part VI-Revenues &amp; Expenses'!J46</f>
        <v>0</v>
      </c>
      <c r="K808" s="1976">
        <f t="shared" si="1"/>
        <v>0</v>
      </c>
      <c r="L808" s="1976">
        <f t="shared" si="2"/>
        <v>0</v>
      </c>
      <c r="M808" s="1834">
        <f>'Part VI-Revenues &amp; Expenses'!M46</f>
        <v>0</v>
      </c>
      <c r="N808" s="1834">
        <f>'Part VI-Revenues &amp; Expenses'!N46</f>
        <v>0</v>
      </c>
      <c r="O808" s="1834">
        <f>'Part VI-Revenues &amp; Expenses'!O46</f>
        <v>0</v>
      </c>
      <c r="P808" s="1958">
        <f>'Part VI-Revenues &amp; Expenses'!P46</f>
        <v>0</v>
      </c>
      <c r="Q808" s="1977" t="str">
        <f>'Part VI-Revenues &amp; Expenses'!Q46</f>
        <v/>
      </c>
      <c r="R808" s="1978" t="str">
        <f>'Part VI-Revenues &amp; Expenses'!R46</f>
        <v/>
      </c>
      <c r="S808" s="1977">
        <f>'Part VI-Revenues &amp; Expenses'!S46</f>
        <v>0</v>
      </c>
      <c r="T808" s="1978">
        <f>'Part VI-Revenues &amp; Expenses'!T46</f>
        <v>0</v>
      </c>
      <c r="U808" s="1979">
        <f>'Part VI-Revenues &amp; Expenses'!U46:V46</f>
        <v>0</v>
      </c>
      <c r="V808" s="1979"/>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980" t="str">
        <f t="shared" si="202"/>
        <v/>
      </c>
      <c r="HZ808" s="1980" t="str">
        <f t="shared" si="203"/>
        <v/>
      </c>
      <c r="IA808" s="1980" t="str">
        <f t="shared" si="204"/>
        <v/>
      </c>
      <c r="IB808" s="1980" t="str">
        <f t="shared" si="205"/>
        <v/>
      </c>
      <c r="IC808" s="1980" t="str">
        <f t="shared" si="206"/>
        <v/>
      </c>
      <c r="ID808" s="1980" t="str">
        <f t="shared" si="207"/>
        <v/>
      </c>
      <c r="IE808" s="1980" t="str">
        <f t="shared" si="208"/>
        <v/>
      </c>
      <c r="IF808" s="1980" t="str">
        <f t="shared" si="209"/>
        <v/>
      </c>
      <c r="IG808" s="1980" t="str">
        <f t="shared" si="210"/>
        <v/>
      </c>
      <c r="IH808" s="1980" t="str">
        <f t="shared" si="211"/>
        <v/>
      </c>
      <c r="II808" s="1980" t="str">
        <f t="shared" si="212"/>
        <v/>
      </c>
      <c r="IJ808" s="1980" t="str">
        <f t="shared" si="213"/>
        <v/>
      </c>
      <c r="IK808" s="1980" t="str">
        <f t="shared" si="214"/>
        <v/>
      </c>
      <c r="IL808" s="1980" t="str">
        <f t="shared" si="215"/>
        <v/>
      </c>
      <c r="IM808" s="1980" t="str">
        <f t="shared" si="216"/>
        <v/>
      </c>
      <c r="IN808" s="1980" t="str">
        <f t="shared" si="217"/>
        <v/>
      </c>
      <c r="IO808" s="1980" t="str">
        <f t="shared" si="218"/>
        <v/>
      </c>
      <c r="IP808" s="1980" t="str">
        <f t="shared" si="219"/>
        <v/>
      </c>
      <c r="IQ808" s="1980" t="str">
        <f t="shared" si="220"/>
        <v/>
      </c>
      <c r="IR808" s="1980" t="str">
        <f t="shared" si="221"/>
        <v/>
      </c>
      <c r="IS808" s="1980" t="str">
        <f t="shared" si="222"/>
        <v/>
      </c>
      <c r="IT808" s="1980" t="str">
        <f t="shared" si="223"/>
        <v/>
      </c>
      <c r="IU808" s="1980" t="str">
        <f t="shared" si="224"/>
        <v/>
      </c>
      <c r="IV808" s="1980" t="str">
        <f t="shared" si="225"/>
        <v/>
      </c>
      <c r="IW808" s="1980" t="str">
        <f t="shared" si="226"/>
        <v/>
      </c>
      <c r="IX808" s="1980" t="str">
        <f t="shared" si="227"/>
        <v/>
      </c>
      <c r="IY808" s="1980" t="str">
        <f t="shared" si="228"/>
        <v/>
      </c>
      <c r="IZ808" s="1980" t="str">
        <f t="shared" si="229"/>
        <v/>
      </c>
      <c r="JA808" s="1980" t="str">
        <f t="shared" si="230"/>
        <v/>
      </c>
      <c r="JB808" s="1980" t="str">
        <f t="shared" si="231"/>
        <v/>
      </c>
      <c r="JC808" s="1980" t="str">
        <f t="shared" si="232"/>
        <v/>
      </c>
      <c r="JD808" s="1980" t="str">
        <f t="shared" si="233"/>
        <v/>
      </c>
      <c r="JE808" s="1980" t="str">
        <f t="shared" si="234"/>
        <v/>
      </c>
      <c r="JF808" s="1980" t="str">
        <f t="shared" si="235"/>
        <v/>
      </c>
      <c r="JG808" s="1980" t="str">
        <f t="shared" si="236"/>
        <v/>
      </c>
      <c r="JH808" s="1980" t="str">
        <f t="shared" si="237"/>
        <v/>
      </c>
      <c r="JI808" s="1980" t="str">
        <f t="shared" si="238"/>
        <v/>
      </c>
      <c r="JJ808" s="1980" t="str">
        <f t="shared" si="239"/>
        <v/>
      </c>
      <c r="JK808" s="1980" t="str">
        <f t="shared" si="240"/>
        <v/>
      </c>
      <c r="JL808" s="1980" t="str">
        <f t="shared" si="241"/>
        <v/>
      </c>
      <c r="JM808" s="1980" t="str">
        <f t="shared" si="242"/>
        <v/>
      </c>
      <c r="JN808" s="1980" t="str">
        <f t="shared" si="243"/>
        <v/>
      </c>
      <c r="JO808" s="1980" t="str">
        <f t="shared" si="244"/>
        <v/>
      </c>
      <c r="JP808" s="1980" t="str">
        <f t="shared" si="245"/>
        <v/>
      </c>
      <c r="JQ808" s="1980" t="str">
        <f t="shared" si="246"/>
        <v/>
      </c>
      <c r="JR808" s="1980" t="str">
        <f t="shared" si="247"/>
        <v/>
      </c>
      <c r="JS808" s="1980" t="str">
        <f t="shared" si="248"/>
        <v/>
      </c>
      <c r="JT808" s="1980" t="str">
        <f t="shared" si="249"/>
        <v/>
      </c>
      <c r="JU808" s="1980" t="str">
        <f t="shared" si="250"/>
        <v/>
      </c>
      <c r="JV808" s="1980" t="str">
        <f t="shared" si="251"/>
        <v/>
      </c>
      <c r="JW808" s="1980" t="str">
        <f t="shared" si="252"/>
        <v/>
      </c>
      <c r="JX808" s="1980" t="str">
        <f t="shared" si="253"/>
        <v/>
      </c>
      <c r="JY808" s="1980" t="str">
        <f t="shared" si="254"/>
        <v/>
      </c>
      <c r="JZ808" s="1980" t="str">
        <f t="shared" si="255"/>
        <v/>
      </c>
      <c r="KA808" s="1980" t="str">
        <f t="shared" si="256"/>
        <v/>
      </c>
      <c r="KB808" s="1980" t="str">
        <f t="shared" si="257"/>
        <v/>
      </c>
      <c r="KC808" s="1980" t="str">
        <f t="shared" si="258"/>
        <v/>
      </c>
      <c r="KD808" s="1980" t="str">
        <f t="shared" si="259"/>
        <v/>
      </c>
      <c r="KE808" s="1980" t="str">
        <f t="shared" si="260"/>
        <v/>
      </c>
      <c r="KF808" s="1980" t="str">
        <f t="shared" si="261"/>
        <v/>
      </c>
      <c r="KG808" s="1980" t="str">
        <f t="shared" si="262"/>
        <v/>
      </c>
      <c r="KH808" s="1980" t="str">
        <f t="shared" si="263"/>
        <v/>
      </c>
      <c r="KI808" s="1980" t="str">
        <f t="shared" si="264"/>
        <v/>
      </c>
      <c r="KJ808" s="1980" t="str">
        <f t="shared" si="265"/>
        <v/>
      </c>
      <c r="KK808" s="1980" t="str">
        <f t="shared" si="266"/>
        <v/>
      </c>
      <c r="KL808" s="1980" t="str">
        <f t="shared" si="267"/>
        <v/>
      </c>
      <c r="KM808" s="1980" t="str">
        <f t="shared" si="268"/>
        <v/>
      </c>
      <c r="KN808" s="1980" t="str">
        <f t="shared" si="269"/>
        <v/>
      </c>
      <c r="KO808" s="1980" t="str">
        <f t="shared" si="270"/>
        <v/>
      </c>
      <c r="KP808" s="1980" t="str">
        <f t="shared" si="271"/>
        <v/>
      </c>
      <c r="KQ808" s="1980" t="str">
        <f t="shared" si="272"/>
        <v/>
      </c>
      <c r="KR808" s="1980" t="str">
        <f t="shared" si="273"/>
        <v/>
      </c>
      <c r="KS808" s="1980" t="str">
        <f t="shared" si="274"/>
        <v/>
      </c>
      <c r="KT808" s="1980" t="str">
        <f t="shared" si="275"/>
        <v/>
      </c>
      <c r="KU808" s="1980" t="str">
        <f t="shared" si="276"/>
        <v/>
      </c>
      <c r="KV808" s="1980" t="str">
        <f t="shared" si="277"/>
        <v/>
      </c>
      <c r="KW808" s="1980" t="str">
        <f t="shared" si="278"/>
        <v/>
      </c>
      <c r="KX808" s="1980" t="str">
        <f t="shared" si="279"/>
        <v/>
      </c>
      <c r="KY808" s="1980" t="str">
        <f t="shared" si="280"/>
        <v/>
      </c>
      <c r="KZ808" s="1980" t="str">
        <f t="shared" si="281"/>
        <v/>
      </c>
      <c r="LA808" s="1980" t="str">
        <f t="shared" si="282"/>
        <v/>
      </c>
      <c r="LB808" s="1980" t="str">
        <f t="shared" si="283"/>
        <v/>
      </c>
      <c r="LC808" s="1980" t="str">
        <f t="shared" si="284"/>
        <v/>
      </c>
      <c r="LD808" s="1980" t="str">
        <f t="shared" si="285"/>
        <v/>
      </c>
      <c r="LE808" s="1980" t="str">
        <f t="shared" si="286"/>
        <v/>
      </c>
      <c r="LF808" s="1953" t="str">
        <f t="shared" si="287"/>
        <v/>
      </c>
      <c r="LG808" s="1953" t="str">
        <f t="shared" si="288"/>
        <v/>
      </c>
      <c r="LH808" s="1953" t="str">
        <f t="shared" si="289"/>
        <v/>
      </c>
      <c r="LI808" s="1953" t="str">
        <f t="shared" si="290"/>
        <v/>
      </c>
      <c r="LJ808" s="1953"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953">
        <f t="shared" si="323"/>
        <v>0</v>
      </c>
      <c r="MF808" s="1953">
        <f t="shared" si="324"/>
        <v>0</v>
      </c>
      <c r="MG808" s="1953">
        <f t="shared" si="325"/>
        <v>0</v>
      </c>
      <c r="MH808" s="1953">
        <f t="shared" si="326"/>
        <v>0</v>
      </c>
      <c r="MI808" s="1953">
        <f t="shared" si="327"/>
        <v>0</v>
      </c>
      <c r="MJ808" s="1953">
        <f t="shared" si="328"/>
        <v>0</v>
      </c>
      <c r="MK808" s="1953">
        <f t="shared" si="329"/>
        <v>0</v>
      </c>
      <c r="ML808" s="1953">
        <f t="shared" si="330"/>
        <v>0</v>
      </c>
      <c r="MM808" s="1953">
        <f t="shared" si="331"/>
        <v>0</v>
      </c>
      <c r="MN808" s="1953">
        <f t="shared" si="332"/>
        <v>0</v>
      </c>
      <c r="MO808" s="1953">
        <f t="shared" si="333"/>
        <v>0</v>
      </c>
      <c r="MP808" s="1953">
        <f t="shared" si="334"/>
        <v>0</v>
      </c>
      <c r="MQ808" s="1953">
        <f t="shared" si="335"/>
        <v>0</v>
      </c>
      <c r="MR808" s="1953">
        <f t="shared" si="336"/>
        <v>0</v>
      </c>
      <c r="MS808" s="1953">
        <f t="shared" si="337"/>
        <v>0</v>
      </c>
    </row>
    <row r="809" spans="1:357">
      <c r="A809" s="1955" t="str">
        <f t="shared" si="0"/>
        <v/>
      </c>
      <c r="B809" s="1971">
        <f>'Part VI-Revenues &amp; Expenses'!B47</f>
        <v>0</v>
      </c>
      <c r="C809" s="1972">
        <f>'Part VI-Revenues &amp; Expenses'!C47</f>
        <v>0</v>
      </c>
      <c r="D809" s="1973">
        <f>'Part VI-Revenues &amp; Expenses'!D47</f>
        <v>0</v>
      </c>
      <c r="E809" s="1974">
        <f>'Part VI-Revenues &amp; Expenses'!E47</f>
        <v>0</v>
      </c>
      <c r="F809" s="1974">
        <f>'Part VI-Revenues &amp; Expenses'!F47</f>
        <v>0</v>
      </c>
      <c r="G809" s="1974">
        <f>'Part VI-Revenues &amp; Expenses'!G47</f>
        <v>0</v>
      </c>
      <c r="H809" s="1974">
        <f>'Part VI-Revenues &amp; Expenses'!H47</f>
        <v>0</v>
      </c>
      <c r="I809" s="1974">
        <f>'Part VI-Revenues &amp; Expenses'!I47</f>
        <v>0</v>
      </c>
      <c r="J809" s="1975">
        <f>'Part VI-Revenues &amp; Expenses'!J47</f>
        <v>0</v>
      </c>
      <c r="K809" s="1976">
        <f t="shared" si="1"/>
        <v>0</v>
      </c>
      <c r="L809" s="1976">
        <f t="shared" si="2"/>
        <v>0</v>
      </c>
      <c r="M809" s="1834">
        <f>'Part VI-Revenues &amp; Expenses'!M47</f>
        <v>0</v>
      </c>
      <c r="N809" s="1834">
        <f>'Part VI-Revenues &amp; Expenses'!N47</f>
        <v>0</v>
      </c>
      <c r="O809" s="1834">
        <f>'Part VI-Revenues &amp; Expenses'!O47</f>
        <v>0</v>
      </c>
      <c r="P809" s="1958">
        <f>'Part VI-Revenues &amp; Expenses'!P47</f>
        <v>0</v>
      </c>
      <c r="Q809" s="1977" t="str">
        <f>'Part VI-Revenues &amp; Expenses'!Q47</f>
        <v/>
      </c>
      <c r="R809" s="1978" t="str">
        <f>'Part VI-Revenues &amp; Expenses'!R47</f>
        <v/>
      </c>
      <c r="S809" s="1977">
        <f>'Part VI-Revenues &amp; Expenses'!S47</f>
        <v>0</v>
      </c>
      <c r="T809" s="1978">
        <f>'Part VI-Revenues &amp; Expenses'!T47</f>
        <v>0</v>
      </c>
      <c r="U809" s="1979">
        <f>'Part VI-Revenues &amp; Expenses'!U47:V47</f>
        <v>0</v>
      </c>
      <c r="V809" s="1979"/>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980" t="str">
        <f t="shared" si="202"/>
        <v/>
      </c>
      <c r="HZ809" s="1980" t="str">
        <f t="shared" si="203"/>
        <v/>
      </c>
      <c r="IA809" s="1980" t="str">
        <f t="shared" si="204"/>
        <v/>
      </c>
      <c r="IB809" s="1980" t="str">
        <f t="shared" si="205"/>
        <v/>
      </c>
      <c r="IC809" s="1980" t="str">
        <f t="shared" si="206"/>
        <v/>
      </c>
      <c r="ID809" s="1980" t="str">
        <f t="shared" si="207"/>
        <v/>
      </c>
      <c r="IE809" s="1980" t="str">
        <f t="shared" si="208"/>
        <v/>
      </c>
      <c r="IF809" s="1980" t="str">
        <f t="shared" si="209"/>
        <v/>
      </c>
      <c r="IG809" s="1980" t="str">
        <f t="shared" si="210"/>
        <v/>
      </c>
      <c r="IH809" s="1980" t="str">
        <f t="shared" si="211"/>
        <v/>
      </c>
      <c r="II809" s="1980" t="str">
        <f t="shared" si="212"/>
        <v/>
      </c>
      <c r="IJ809" s="1980" t="str">
        <f t="shared" si="213"/>
        <v/>
      </c>
      <c r="IK809" s="1980" t="str">
        <f t="shared" si="214"/>
        <v/>
      </c>
      <c r="IL809" s="1980" t="str">
        <f t="shared" si="215"/>
        <v/>
      </c>
      <c r="IM809" s="1980" t="str">
        <f t="shared" si="216"/>
        <v/>
      </c>
      <c r="IN809" s="1980" t="str">
        <f t="shared" si="217"/>
        <v/>
      </c>
      <c r="IO809" s="1980" t="str">
        <f t="shared" si="218"/>
        <v/>
      </c>
      <c r="IP809" s="1980" t="str">
        <f t="shared" si="219"/>
        <v/>
      </c>
      <c r="IQ809" s="1980" t="str">
        <f t="shared" si="220"/>
        <v/>
      </c>
      <c r="IR809" s="1980" t="str">
        <f t="shared" si="221"/>
        <v/>
      </c>
      <c r="IS809" s="1980" t="str">
        <f t="shared" si="222"/>
        <v/>
      </c>
      <c r="IT809" s="1980" t="str">
        <f t="shared" si="223"/>
        <v/>
      </c>
      <c r="IU809" s="1980" t="str">
        <f t="shared" si="224"/>
        <v/>
      </c>
      <c r="IV809" s="1980" t="str">
        <f t="shared" si="225"/>
        <v/>
      </c>
      <c r="IW809" s="1980" t="str">
        <f t="shared" si="226"/>
        <v/>
      </c>
      <c r="IX809" s="1980" t="str">
        <f t="shared" si="227"/>
        <v/>
      </c>
      <c r="IY809" s="1980" t="str">
        <f t="shared" si="228"/>
        <v/>
      </c>
      <c r="IZ809" s="1980" t="str">
        <f t="shared" si="229"/>
        <v/>
      </c>
      <c r="JA809" s="1980" t="str">
        <f t="shared" si="230"/>
        <v/>
      </c>
      <c r="JB809" s="1980" t="str">
        <f t="shared" si="231"/>
        <v/>
      </c>
      <c r="JC809" s="1980" t="str">
        <f t="shared" si="232"/>
        <v/>
      </c>
      <c r="JD809" s="1980" t="str">
        <f t="shared" si="233"/>
        <v/>
      </c>
      <c r="JE809" s="1980" t="str">
        <f t="shared" si="234"/>
        <v/>
      </c>
      <c r="JF809" s="1980" t="str">
        <f t="shared" si="235"/>
        <v/>
      </c>
      <c r="JG809" s="1980" t="str">
        <f t="shared" si="236"/>
        <v/>
      </c>
      <c r="JH809" s="1980" t="str">
        <f t="shared" si="237"/>
        <v/>
      </c>
      <c r="JI809" s="1980" t="str">
        <f t="shared" si="238"/>
        <v/>
      </c>
      <c r="JJ809" s="1980" t="str">
        <f t="shared" si="239"/>
        <v/>
      </c>
      <c r="JK809" s="1980" t="str">
        <f t="shared" si="240"/>
        <v/>
      </c>
      <c r="JL809" s="1980" t="str">
        <f t="shared" si="241"/>
        <v/>
      </c>
      <c r="JM809" s="1980" t="str">
        <f t="shared" si="242"/>
        <v/>
      </c>
      <c r="JN809" s="1980" t="str">
        <f t="shared" si="243"/>
        <v/>
      </c>
      <c r="JO809" s="1980" t="str">
        <f t="shared" si="244"/>
        <v/>
      </c>
      <c r="JP809" s="1980" t="str">
        <f t="shared" si="245"/>
        <v/>
      </c>
      <c r="JQ809" s="1980" t="str">
        <f t="shared" si="246"/>
        <v/>
      </c>
      <c r="JR809" s="1980" t="str">
        <f t="shared" si="247"/>
        <v/>
      </c>
      <c r="JS809" s="1980" t="str">
        <f t="shared" si="248"/>
        <v/>
      </c>
      <c r="JT809" s="1980" t="str">
        <f t="shared" si="249"/>
        <v/>
      </c>
      <c r="JU809" s="1980" t="str">
        <f t="shared" si="250"/>
        <v/>
      </c>
      <c r="JV809" s="1980" t="str">
        <f t="shared" si="251"/>
        <v/>
      </c>
      <c r="JW809" s="1980" t="str">
        <f t="shared" si="252"/>
        <v/>
      </c>
      <c r="JX809" s="1980" t="str">
        <f t="shared" si="253"/>
        <v/>
      </c>
      <c r="JY809" s="1980" t="str">
        <f t="shared" si="254"/>
        <v/>
      </c>
      <c r="JZ809" s="1980" t="str">
        <f t="shared" si="255"/>
        <v/>
      </c>
      <c r="KA809" s="1980" t="str">
        <f t="shared" si="256"/>
        <v/>
      </c>
      <c r="KB809" s="1980" t="str">
        <f t="shared" si="257"/>
        <v/>
      </c>
      <c r="KC809" s="1980" t="str">
        <f t="shared" si="258"/>
        <v/>
      </c>
      <c r="KD809" s="1980" t="str">
        <f t="shared" si="259"/>
        <v/>
      </c>
      <c r="KE809" s="1980" t="str">
        <f t="shared" si="260"/>
        <v/>
      </c>
      <c r="KF809" s="1980" t="str">
        <f t="shared" si="261"/>
        <v/>
      </c>
      <c r="KG809" s="1980" t="str">
        <f t="shared" si="262"/>
        <v/>
      </c>
      <c r="KH809" s="1980" t="str">
        <f t="shared" si="263"/>
        <v/>
      </c>
      <c r="KI809" s="1980" t="str">
        <f t="shared" si="264"/>
        <v/>
      </c>
      <c r="KJ809" s="1980" t="str">
        <f t="shared" si="265"/>
        <v/>
      </c>
      <c r="KK809" s="1980" t="str">
        <f t="shared" si="266"/>
        <v/>
      </c>
      <c r="KL809" s="1980" t="str">
        <f t="shared" si="267"/>
        <v/>
      </c>
      <c r="KM809" s="1980" t="str">
        <f t="shared" si="268"/>
        <v/>
      </c>
      <c r="KN809" s="1980" t="str">
        <f t="shared" si="269"/>
        <v/>
      </c>
      <c r="KO809" s="1980" t="str">
        <f t="shared" si="270"/>
        <v/>
      </c>
      <c r="KP809" s="1980" t="str">
        <f t="shared" si="271"/>
        <v/>
      </c>
      <c r="KQ809" s="1980" t="str">
        <f t="shared" si="272"/>
        <v/>
      </c>
      <c r="KR809" s="1980" t="str">
        <f t="shared" si="273"/>
        <v/>
      </c>
      <c r="KS809" s="1980" t="str">
        <f t="shared" si="274"/>
        <v/>
      </c>
      <c r="KT809" s="1980" t="str">
        <f t="shared" si="275"/>
        <v/>
      </c>
      <c r="KU809" s="1980" t="str">
        <f t="shared" si="276"/>
        <v/>
      </c>
      <c r="KV809" s="1980" t="str">
        <f t="shared" si="277"/>
        <v/>
      </c>
      <c r="KW809" s="1980" t="str">
        <f t="shared" si="278"/>
        <v/>
      </c>
      <c r="KX809" s="1980" t="str">
        <f t="shared" si="279"/>
        <v/>
      </c>
      <c r="KY809" s="1980" t="str">
        <f t="shared" si="280"/>
        <v/>
      </c>
      <c r="KZ809" s="1980" t="str">
        <f t="shared" si="281"/>
        <v/>
      </c>
      <c r="LA809" s="1980" t="str">
        <f t="shared" si="282"/>
        <v/>
      </c>
      <c r="LB809" s="1980" t="str">
        <f t="shared" si="283"/>
        <v/>
      </c>
      <c r="LC809" s="1980" t="str">
        <f t="shared" si="284"/>
        <v/>
      </c>
      <c r="LD809" s="1980" t="str">
        <f t="shared" si="285"/>
        <v/>
      </c>
      <c r="LE809" s="1980" t="str">
        <f t="shared" si="286"/>
        <v/>
      </c>
      <c r="LF809" s="1953" t="str">
        <f t="shared" si="287"/>
        <v/>
      </c>
      <c r="LG809" s="1953" t="str">
        <f t="shared" si="288"/>
        <v/>
      </c>
      <c r="LH809" s="1953" t="str">
        <f t="shared" si="289"/>
        <v/>
      </c>
      <c r="LI809" s="1953" t="str">
        <f t="shared" si="290"/>
        <v/>
      </c>
      <c r="LJ809" s="1953"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953">
        <f t="shared" si="323"/>
        <v>0</v>
      </c>
      <c r="MF809" s="1953">
        <f t="shared" si="324"/>
        <v>0</v>
      </c>
      <c r="MG809" s="1953">
        <f t="shared" si="325"/>
        <v>0</v>
      </c>
      <c r="MH809" s="1953">
        <f t="shared" si="326"/>
        <v>0</v>
      </c>
      <c r="MI809" s="1953">
        <f t="shared" si="327"/>
        <v>0</v>
      </c>
      <c r="MJ809" s="1953">
        <f t="shared" si="328"/>
        <v>0</v>
      </c>
      <c r="MK809" s="1953">
        <f t="shared" si="329"/>
        <v>0</v>
      </c>
      <c r="ML809" s="1953">
        <f t="shared" si="330"/>
        <v>0</v>
      </c>
      <c r="MM809" s="1953">
        <f t="shared" si="331"/>
        <v>0</v>
      </c>
      <c r="MN809" s="1953">
        <f t="shared" si="332"/>
        <v>0</v>
      </c>
      <c r="MO809" s="1953">
        <f t="shared" si="333"/>
        <v>0</v>
      </c>
      <c r="MP809" s="1953">
        <f t="shared" si="334"/>
        <v>0</v>
      </c>
      <c r="MQ809" s="1953">
        <f t="shared" si="335"/>
        <v>0</v>
      </c>
      <c r="MR809" s="1953">
        <f t="shared" si="336"/>
        <v>0</v>
      </c>
      <c r="MS809" s="1953">
        <f t="shared" si="337"/>
        <v>0</v>
      </c>
    </row>
    <row r="810" spans="1:357" ht="12.75" customHeight="1">
      <c r="A810" s="1955">
        <f>COUNT(A772,A773,A774,A775,A776,A777,A778,A779,A780,A781,A782,A783,A784,A785,A786,A787,A788,A789,A790,A791,A792,A793,A794,A795,A796,A797,A798,A799,A800,A801)</f>
        <v>0</v>
      </c>
      <c r="B810" s="457" t="s">
        <v>4379</v>
      </c>
      <c r="C810" s="457"/>
      <c r="D810" s="1981" t="s">
        <v>1005</v>
      </c>
      <c r="E810" s="1982">
        <f>SUM(E772:E809)</f>
        <v>84</v>
      </c>
      <c r="F810" s="1983">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74620</v>
      </c>
      <c r="G810" s="1984" t="s">
        <v>4376</v>
      </c>
      <c r="H810" s="1314" t="s">
        <v>4377</v>
      </c>
      <c r="I810" s="1985" t="str">
        <f>IF(O829=0,"",IF(SUM(O820:O824)/O829&gt;=0.4,"Pass","Fail"))</f>
        <v>Pass</v>
      </c>
      <c r="J810" s="458"/>
      <c r="K810" s="1981" t="s">
        <v>1287</v>
      </c>
      <c r="L810" s="1986">
        <f>SUM(L772:L809)</f>
        <v>64042</v>
      </c>
      <c r="M810" s="1311"/>
      <c r="N810" s="1311"/>
      <c r="O810" s="1311"/>
      <c r="P810" s="1311"/>
      <c r="Q810" s="1311"/>
      <c r="R810" s="1311"/>
      <c r="S810" s="1311"/>
      <c r="T810" s="1311"/>
      <c r="U810" s="1958"/>
      <c r="V810" s="1980"/>
      <c r="W810" s="1980">
        <f t="shared" ref="W810:EZ810" si="338">SUM(W772:W809)</f>
        <v>0</v>
      </c>
      <c r="X810" s="1980">
        <f t="shared" si="338"/>
        <v>0</v>
      </c>
      <c r="Y810" s="1980">
        <f t="shared" si="338"/>
        <v>0</v>
      </c>
      <c r="Z810" s="1980">
        <f t="shared" si="338"/>
        <v>0</v>
      </c>
      <c r="AA810" s="1980">
        <f t="shared" si="338"/>
        <v>0</v>
      </c>
      <c r="AB810" s="1980">
        <f t="shared" si="338"/>
        <v>0</v>
      </c>
      <c r="AC810" s="1980">
        <f t="shared" si="338"/>
        <v>0</v>
      </c>
      <c r="AD810" s="1980">
        <f t="shared" si="338"/>
        <v>0</v>
      </c>
      <c r="AE810" s="1980">
        <f t="shared" si="338"/>
        <v>0</v>
      </c>
      <c r="AF810" s="1980">
        <f t="shared" si="338"/>
        <v>0</v>
      </c>
      <c r="AG810" s="1980">
        <f t="shared" si="338"/>
        <v>0</v>
      </c>
      <c r="AH810" s="1980">
        <f t="shared" si="338"/>
        <v>21</v>
      </c>
      <c r="AI810" s="1980">
        <f t="shared" si="338"/>
        <v>27</v>
      </c>
      <c r="AJ810" s="1980">
        <f t="shared" si="338"/>
        <v>6</v>
      </c>
      <c r="AK810" s="1980">
        <f t="shared" si="338"/>
        <v>0</v>
      </c>
      <c r="AL810" s="1980">
        <f>SUM(AL772:AL809)</f>
        <v>0</v>
      </c>
      <c r="AM810" s="1980">
        <f>SUM(AM772:AM809)</f>
        <v>7</v>
      </c>
      <c r="AN810" s="1980">
        <f>SUM(AN772:AN809)</f>
        <v>8</v>
      </c>
      <c r="AO810" s="1980">
        <f>SUM(AO772:AO809)</f>
        <v>2</v>
      </c>
      <c r="AP810" s="1980">
        <f>SUM(AP772:AP809)</f>
        <v>0</v>
      </c>
      <c r="AQ810" s="1980">
        <f t="shared" si="338"/>
        <v>0</v>
      </c>
      <c r="AR810" s="1980">
        <f t="shared" si="338"/>
        <v>0</v>
      </c>
      <c r="AS810" s="1980">
        <f t="shared" si="338"/>
        <v>0</v>
      </c>
      <c r="AT810" s="1980">
        <f t="shared" si="338"/>
        <v>0</v>
      </c>
      <c r="AU810" s="1980">
        <f t="shared" si="338"/>
        <v>0</v>
      </c>
      <c r="AV810" s="1980">
        <f t="shared" si="338"/>
        <v>0</v>
      </c>
      <c r="AW810" s="1980">
        <f t="shared" si="338"/>
        <v>0</v>
      </c>
      <c r="AX810" s="1980">
        <f t="shared" si="338"/>
        <v>0</v>
      </c>
      <c r="AY810" s="1980">
        <f t="shared" si="338"/>
        <v>0</v>
      </c>
      <c r="AZ810" s="1980">
        <f t="shared" si="338"/>
        <v>0</v>
      </c>
      <c r="BA810" s="1980">
        <f>SUM(BA772:BA809)</f>
        <v>0</v>
      </c>
      <c r="BB810" s="1980">
        <f>SUM(BB772:BB809)</f>
        <v>0</v>
      </c>
      <c r="BC810" s="1980">
        <f>SUM(BC772:BC809)</f>
        <v>0</v>
      </c>
      <c r="BD810" s="1980">
        <f>SUM(BD772:BD809)</f>
        <v>0</v>
      </c>
      <c r="BE810" s="1980">
        <f>SUM(BE772:BE809)</f>
        <v>0</v>
      </c>
      <c r="BF810" s="1980">
        <f t="shared" si="338"/>
        <v>0</v>
      </c>
      <c r="BG810" s="1980">
        <f t="shared" si="338"/>
        <v>4</v>
      </c>
      <c r="BH810" s="1980">
        <f t="shared" si="338"/>
        <v>7</v>
      </c>
      <c r="BI810" s="1980">
        <f t="shared" si="338"/>
        <v>2</v>
      </c>
      <c r="BJ810" s="1980">
        <f t="shared" si="338"/>
        <v>0</v>
      </c>
      <c r="BK810" s="1980">
        <f>SUM(BK772:BK809)</f>
        <v>0</v>
      </c>
      <c r="BL810" s="1980">
        <f>SUM(BL772:BL809)</f>
        <v>0</v>
      </c>
      <c r="BM810" s="1980">
        <f>SUM(BM772:BM809)</f>
        <v>0</v>
      </c>
      <c r="BN810" s="1980">
        <f>SUM(BN772:BN809)</f>
        <v>0</v>
      </c>
      <c r="BO810" s="1980">
        <f>SUM(BO772:BO809)</f>
        <v>0</v>
      </c>
      <c r="BP810" s="1980">
        <f t="shared" si="338"/>
        <v>0</v>
      </c>
      <c r="BQ810" s="1980">
        <f t="shared" si="338"/>
        <v>0</v>
      </c>
      <c r="BR810" s="1980">
        <f t="shared" si="338"/>
        <v>0</v>
      </c>
      <c r="BS810" s="1980">
        <f t="shared" si="338"/>
        <v>0</v>
      </c>
      <c r="BT810" s="1980">
        <f t="shared" si="338"/>
        <v>0</v>
      </c>
      <c r="BU810" s="1980">
        <f>SUM(BU772:BU809)</f>
        <v>0</v>
      </c>
      <c r="BV810" s="1980">
        <f>SUM(BV772:BV809)</f>
        <v>0</v>
      </c>
      <c r="BW810" s="1980">
        <f>SUM(BW772:BW809)</f>
        <v>0</v>
      </c>
      <c r="BX810" s="1980">
        <f>SUM(BX772:BX809)</f>
        <v>0</v>
      </c>
      <c r="BY810" s="1980">
        <f>SUM(BY772:BY809)</f>
        <v>0</v>
      </c>
      <c r="BZ810" s="1980">
        <f t="shared" si="338"/>
        <v>0</v>
      </c>
      <c r="CA810" s="1980">
        <f t="shared" si="338"/>
        <v>0</v>
      </c>
      <c r="CB810" s="1980">
        <f t="shared" si="338"/>
        <v>0</v>
      </c>
      <c r="CC810" s="1980">
        <f t="shared" si="338"/>
        <v>0</v>
      </c>
      <c r="CD810" s="1980">
        <f t="shared" si="338"/>
        <v>0</v>
      </c>
      <c r="CE810" s="1980">
        <f t="shared" si="338"/>
        <v>0</v>
      </c>
      <c r="CF810" s="1980">
        <f t="shared" si="338"/>
        <v>0</v>
      </c>
      <c r="CG810" s="1980">
        <f t="shared" si="338"/>
        <v>0</v>
      </c>
      <c r="CH810" s="1980">
        <f t="shared" si="338"/>
        <v>0</v>
      </c>
      <c r="CI810" s="1980">
        <f t="shared" si="338"/>
        <v>0</v>
      </c>
      <c r="CJ810" s="1980">
        <f>SUM(CJ772:CJ809)</f>
        <v>0</v>
      </c>
      <c r="CK810" s="1980">
        <f>SUM(CK772:CK809)</f>
        <v>0</v>
      </c>
      <c r="CL810" s="1980">
        <f>SUM(CL772:CL809)</f>
        <v>0</v>
      </c>
      <c r="CM810" s="1980">
        <f>SUM(CM772:CM809)</f>
        <v>0</v>
      </c>
      <c r="CN810" s="1980">
        <f>SUM(CN772:CN809)</f>
        <v>0</v>
      </c>
      <c r="CO810" s="1980">
        <f t="shared" ref="CO810:CX810" si="339">SUM(CO772:CO809)</f>
        <v>0</v>
      </c>
      <c r="CP810" s="1980">
        <f t="shared" si="339"/>
        <v>0</v>
      </c>
      <c r="CQ810" s="1980">
        <f t="shared" si="339"/>
        <v>0</v>
      </c>
      <c r="CR810" s="1980">
        <f t="shared" si="339"/>
        <v>0</v>
      </c>
      <c r="CS810" s="1980">
        <f t="shared" si="339"/>
        <v>0</v>
      </c>
      <c r="CT810" s="1980">
        <f t="shared" si="339"/>
        <v>0</v>
      </c>
      <c r="CU810" s="1980">
        <f t="shared" si="339"/>
        <v>0</v>
      </c>
      <c r="CV810" s="1980">
        <f t="shared" si="339"/>
        <v>0</v>
      </c>
      <c r="CW810" s="1980">
        <f t="shared" si="339"/>
        <v>0</v>
      </c>
      <c r="CX810" s="1980">
        <f t="shared" si="339"/>
        <v>0</v>
      </c>
      <c r="CY810" s="1980">
        <f t="shared" si="338"/>
        <v>0</v>
      </c>
      <c r="CZ810" s="1980">
        <f t="shared" si="338"/>
        <v>0</v>
      </c>
      <c r="DA810" s="1980">
        <f t="shared" si="338"/>
        <v>0</v>
      </c>
      <c r="DB810" s="1980">
        <f t="shared" si="338"/>
        <v>0</v>
      </c>
      <c r="DC810" s="1980">
        <f t="shared" si="338"/>
        <v>0</v>
      </c>
      <c r="DD810" s="1980">
        <f t="shared" si="338"/>
        <v>0</v>
      </c>
      <c r="DE810" s="1980">
        <f t="shared" si="338"/>
        <v>0</v>
      </c>
      <c r="DF810" s="1980">
        <f t="shared" si="338"/>
        <v>0</v>
      </c>
      <c r="DG810" s="1980">
        <f t="shared" si="338"/>
        <v>0</v>
      </c>
      <c r="DH810" s="1980">
        <f t="shared" si="338"/>
        <v>0</v>
      </c>
      <c r="DI810" s="1980">
        <f t="shared" si="338"/>
        <v>0</v>
      </c>
      <c r="DJ810" s="1980">
        <f t="shared" si="338"/>
        <v>0</v>
      </c>
      <c r="DK810" s="1980">
        <f t="shared" si="338"/>
        <v>0</v>
      </c>
      <c r="DL810" s="1980">
        <f t="shared" si="338"/>
        <v>0</v>
      </c>
      <c r="DM810" s="1980">
        <f t="shared" si="338"/>
        <v>0</v>
      </c>
      <c r="DN810" s="1980">
        <f t="shared" si="338"/>
        <v>0</v>
      </c>
      <c r="DO810" s="1980">
        <f t="shared" si="338"/>
        <v>0</v>
      </c>
      <c r="DP810" s="1980">
        <f t="shared" si="338"/>
        <v>0</v>
      </c>
      <c r="DQ810" s="1980">
        <f t="shared" si="338"/>
        <v>0</v>
      </c>
      <c r="DR810" s="1980">
        <f t="shared" si="338"/>
        <v>0</v>
      </c>
      <c r="DS810" s="1980">
        <f t="shared" si="338"/>
        <v>0</v>
      </c>
      <c r="DT810" s="1980">
        <f t="shared" si="338"/>
        <v>0</v>
      </c>
      <c r="DU810" s="1980">
        <f t="shared" si="338"/>
        <v>0</v>
      </c>
      <c r="DV810" s="1980">
        <f t="shared" si="338"/>
        <v>0</v>
      </c>
      <c r="DW810" s="1980">
        <f t="shared" si="338"/>
        <v>0</v>
      </c>
      <c r="DX810" s="1980">
        <f t="shared" si="338"/>
        <v>0</v>
      </c>
      <c r="DY810" s="1980">
        <f t="shared" si="338"/>
        <v>0</v>
      </c>
      <c r="DZ810" s="1980">
        <f t="shared" si="338"/>
        <v>0</v>
      </c>
      <c r="EA810" s="1980">
        <f t="shared" si="338"/>
        <v>0</v>
      </c>
      <c r="EB810" s="1980">
        <f t="shared" si="338"/>
        <v>0</v>
      </c>
      <c r="EC810" s="1980">
        <f t="shared" si="338"/>
        <v>0</v>
      </c>
      <c r="ED810" s="1980">
        <f t="shared" si="338"/>
        <v>0</v>
      </c>
      <c r="EE810" s="1980">
        <f t="shared" si="338"/>
        <v>0</v>
      </c>
      <c r="EF810" s="1980">
        <f t="shared" si="338"/>
        <v>0</v>
      </c>
      <c r="EG810" s="1980">
        <f t="shared" si="338"/>
        <v>0</v>
      </c>
      <c r="EH810" s="1980">
        <f t="shared" si="338"/>
        <v>0</v>
      </c>
      <c r="EI810" s="1980">
        <f t="shared" si="338"/>
        <v>0</v>
      </c>
      <c r="EJ810" s="1980">
        <f t="shared" si="338"/>
        <v>0</v>
      </c>
      <c r="EK810" s="1980">
        <f t="shared" si="338"/>
        <v>0</v>
      </c>
      <c r="EL810" s="1980">
        <f t="shared" si="338"/>
        <v>0</v>
      </c>
      <c r="EM810" s="1980">
        <f t="shared" si="338"/>
        <v>0</v>
      </c>
      <c r="EN810" s="1980">
        <f t="shared" si="338"/>
        <v>0</v>
      </c>
      <c r="EO810" s="1980">
        <f t="shared" si="338"/>
        <v>0</v>
      </c>
      <c r="EP810" s="1980">
        <f t="shared" si="338"/>
        <v>0</v>
      </c>
      <c r="EQ810" s="1980">
        <f t="shared" si="338"/>
        <v>0</v>
      </c>
      <c r="ER810" s="1980">
        <f t="shared" si="338"/>
        <v>0</v>
      </c>
      <c r="ES810" s="1980">
        <f t="shared" si="338"/>
        <v>14910</v>
      </c>
      <c r="ET810" s="1980">
        <f t="shared" si="338"/>
        <v>25650</v>
      </c>
      <c r="EU810" s="1980">
        <f t="shared" si="338"/>
        <v>7200</v>
      </c>
      <c r="EV810" s="1980">
        <f t="shared" si="338"/>
        <v>0</v>
      </c>
      <c r="EW810" s="1980">
        <f t="shared" si="338"/>
        <v>0</v>
      </c>
      <c r="EX810" s="1980">
        <f t="shared" si="338"/>
        <v>4970</v>
      </c>
      <c r="EY810" s="1980">
        <f t="shared" si="338"/>
        <v>7600</v>
      </c>
      <c r="EZ810" s="1980">
        <f t="shared" si="338"/>
        <v>2400</v>
      </c>
      <c r="FA810" s="1980">
        <f t="shared" ref="FA810:HV810" si="340">SUM(FA772:FA809)</f>
        <v>0</v>
      </c>
      <c r="FB810" s="1980">
        <f>SUM(FB772:FB809)</f>
        <v>0</v>
      </c>
      <c r="FC810" s="1980">
        <f>SUM(FC772:FC809)</f>
        <v>0</v>
      </c>
      <c r="FD810" s="1980">
        <f>SUM(FD772:FD809)</f>
        <v>0</v>
      </c>
      <c r="FE810" s="1980">
        <f>SUM(FE772:FE809)</f>
        <v>0</v>
      </c>
      <c r="FF810" s="1980">
        <f>SUM(FF772:FF809)</f>
        <v>0</v>
      </c>
      <c r="FG810" s="1980">
        <f t="shared" si="340"/>
        <v>0</v>
      </c>
      <c r="FH810" s="1980">
        <f t="shared" si="340"/>
        <v>0</v>
      </c>
      <c r="FI810" s="1980">
        <f t="shared" si="340"/>
        <v>0</v>
      </c>
      <c r="FJ810" s="1980">
        <f t="shared" si="340"/>
        <v>0</v>
      </c>
      <c r="FK810" s="1980">
        <f t="shared" si="340"/>
        <v>0</v>
      </c>
      <c r="FL810" s="1980">
        <f>SUM(FL772:FL809)</f>
        <v>0</v>
      </c>
      <c r="FM810" s="1980">
        <f>SUM(FM772:FM809)</f>
        <v>0</v>
      </c>
      <c r="FN810" s="1980">
        <f>SUM(FN772:FN809)</f>
        <v>0</v>
      </c>
      <c r="FO810" s="1980">
        <f>SUM(FO772:FO809)</f>
        <v>0</v>
      </c>
      <c r="FP810" s="1980">
        <f>SUM(FP772:FP809)</f>
        <v>0</v>
      </c>
      <c r="FQ810" s="1980">
        <f t="shared" si="340"/>
        <v>0</v>
      </c>
      <c r="FR810" s="1980">
        <f t="shared" si="340"/>
        <v>2840</v>
      </c>
      <c r="FS810" s="1980">
        <f t="shared" si="340"/>
        <v>6650</v>
      </c>
      <c r="FT810" s="1980">
        <f t="shared" si="340"/>
        <v>2400</v>
      </c>
      <c r="FU810" s="1980">
        <f t="shared" si="340"/>
        <v>0</v>
      </c>
      <c r="FV810" s="1980">
        <f t="shared" si="340"/>
        <v>0</v>
      </c>
      <c r="FW810" s="1980">
        <f t="shared" si="340"/>
        <v>0</v>
      </c>
      <c r="FX810" s="1980">
        <f t="shared" si="340"/>
        <v>0</v>
      </c>
      <c r="FY810" s="1980">
        <f t="shared" si="340"/>
        <v>0</v>
      </c>
      <c r="FZ810" s="1980">
        <f t="shared" si="340"/>
        <v>0</v>
      </c>
      <c r="GA810" s="1980">
        <f t="shared" si="340"/>
        <v>0</v>
      </c>
      <c r="GB810" s="1980">
        <f t="shared" si="340"/>
        <v>0</v>
      </c>
      <c r="GC810" s="1980">
        <f t="shared" si="340"/>
        <v>0</v>
      </c>
      <c r="GD810" s="1980">
        <f t="shared" si="340"/>
        <v>0</v>
      </c>
      <c r="GE810" s="1980">
        <f t="shared" si="340"/>
        <v>0</v>
      </c>
      <c r="GF810" s="1980">
        <f t="shared" si="340"/>
        <v>0</v>
      </c>
      <c r="GG810" s="1980">
        <f t="shared" si="340"/>
        <v>28</v>
      </c>
      <c r="GH810" s="1980">
        <f t="shared" si="340"/>
        <v>35</v>
      </c>
      <c r="GI810" s="1980">
        <f t="shared" si="340"/>
        <v>8</v>
      </c>
      <c r="GJ810" s="1980">
        <f t="shared" si="340"/>
        <v>0</v>
      </c>
      <c r="GK810" s="1980">
        <f t="shared" si="340"/>
        <v>0</v>
      </c>
      <c r="GL810" s="1980">
        <f t="shared" si="340"/>
        <v>4</v>
      </c>
      <c r="GM810" s="1980">
        <f t="shared" si="340"/>
        <v>7</v>
      </c>
      <c r="GN810" s="1980">
        <f t="shared" si="340"/>
        <v>2</v>
      </c>
      <c r="GO810" s="1980">
        <f t="shared" si="340"/>
        <v>0</v>
      </c>
      <c r="GP810" s="1980">
        <f t="shared" si="340"/>
        <v>0</v>
      </c>
      <c r="GQ810" s="1980">
        <f t="shared" si="340"/>
        <v>0</v>
      </c>
      <c r="GR810" s="1980">
        <f t="shared" si="340"/>
        <v>0</v>
      </c>
      <c r="GS810" s="1980">
        <f t="shared" si="340"/>
        <v>0</v>
      </c>
      <c r="GT810" s="1980">
        <f t="shared" si="340"/>
        <v>0</v>
      </c>
      <c r="GU810" s="1980">
        <f t="shared" si="340"/>
        <v>0</v>
      </c>
      <c r="GV810" s="1980">
        <f t="shared" si="340"/>
        <v>0</v>
      </c>
      <c r="GW810" s="1980">
        <f t="shared" si="340"/>
        <v>0</v>
      </c>
      <c r="GX810" s="1980">
        <f t="shared" si="340"/>
        <v>0</v>
      </c>
      <c r="GY810" s="1980">
        <f t="shared" si="340"/>
        <v>0</v>
      </c>
      <c r="GZ810" s="1980">
        <f t="shared" si="340"/>
        <v>0</v>
      </c>
      <c r="HA810" s="1980">
        <f t="shared" si="340"/>
        <v>0</v>
      </c>
      <c r="HB810" s="1980">
        <f t="shared" si="340"/>
        <v>0</v>
      </c>
      <c r="HC810" s="1980">
        <f t="shared" si="340"/>
        <v>0</v>
      </c>
      <c r="HD810" s="1980">
        <f t="shared" si="340"/>
        <v>0</v>
      </c>
      <c r="HE810" s="1980">
        <f t="shared" si="340"/>
        <v>0</v>
      </c>
      <c r="HF810" s="1980">
        <f t="shared" si="340"/>
        <v>0</v>
      </c>
      <c r="HG810" s="1980">
        <f t="shared" si="340"/>
        <v>0</v>
      </c>
      <c r="HH810" s="1980">
        <f t="shared" si="340"/>
        <v>0</v>
      </c>
      <c r="HI810" s="1980">
        <f t="shared" si="340"/>
        <v>0</v>
      </c>
      <c r="HJ810" s="1980">
        <f t="shared" si="340"/>
        <v>0</v>
      </c>
      <c r="HK810" s="1980">
        <f t="shared" si="340"/>
        <v>0</v>
      </c>
      <c r="HL810" s="1980">
        <f t="shared" si="340"/>
        <v>0</v>
      </c>
      <c r="HM810" s="1980">
        <f t="shared" si="340"/>
        <v>0</v>
      </c>
      <c r="HN810" s="1980">
        <f t="shared" si="340"/>
        <v>0</v>
      </c>
      <c r="HO810" s="1980">
        <f t="shared" si="340"/>
        <v>0</v>
      </c>
      <c r="HP810" s="1980">
        <f t="shared" si="340"/>
        <v>0</v>
      </c>
      <c r="HQ810" s="1980">
        <f t="shared" si="340"/>
        <v>0</v>
      </c>
      <c r="HR810" s="1980">
        <f t="shared" si="340"/>
        <v>0</v>
      </c>
      <c r="HS810" s="1980">
        <f t="shared" si="340"/>
        <v>0</v>
      </c>
      <c r="HT810" s="1980">
        <f t="shared" si="340"/>
        <v>0</v>
      </c>
      <c r="HU810" s="1980">
        <f t="shared" si="340"/>
        <v>0</v>
      </c>
      <c r="HV810" s="1980">
        <f t="shared" si="340"/>
        <v>0</v>
      </c>
      <c r="HW810" s="1980">
        <f t="shared" ref="HW810:KH810" si="341">SUM(HW772:HW809)</f>
        <v>0</v>
      </c>
      <c r="HX810" s="1980">
        <f t="shared" si="341"/>
        <v>0</v>
      </c>
      <c r="HY810" s="1980">
        <f t="shared" si="341"/>
        <v>0</v>
      </c>
      <c r="HZ810" s="1980">
        <f t="shared" si="341"/>
        <v>32</v>
      </c>
      <c r="IA810" s="1980">
        <f t="shared" si="341"/>
        <v>42</v>
      </c>
      <c r="IB810" s="1980">
        <f t="shared" si="341"/>
        <v>10</v>
      </c>
      <c r="IC810" s="1980">
        <f t="shared" si="341"/>
        <v>0</v>
      </c>
      <c r="ID810" s="1980">
        <f t="shared" si="341"/>
        <v>0</v>
      </c>
      <c r="IE810" s="1980">
        <f t="shared" si="341"/>
        <v>0</v>
      </c>
      <c r="IF810" s="1980">
        <f t="shared" si="341"/>
        <v>0</v>
      </c>
      <c r="IG810" s="1980">
        <f t="shared" si="341"/>
        <v>0</v>
      </c>
      <c r="IH810" s="1980">
        <f t="shared" si="341"/>
        <v>0</v>
      </c>
      <c r="II810" s="1980">
        <f t="shared" si="341"/>
        <v>0</v>
      </c>
      <c r="IJ810" s="1980">
        <f t="shared" si="341"/>
        <v>0</v>
      </c>
      <c r="IK810" s="1980">
        <f t="shared" si="341"/>
        <v>0</v>
      </c>
      <c r="IL810" s="1980">
        <f t="shared" si="341"/>
        <v>0</v>
      </c>
      <c r="IM810" s="1980">
        <f t="shared" si="341"/>
        <v>0</v>
      </c>
      <c r="IN810" s="1980">
        <f t="shared" si="341"/>
        <v>0</v>
      </c>
      <c r="IO810" s="1980">
        <f t="shared" si="341"/>
        <v>0</v>
      </c>
      <c r="IP810" s="1980">
        <f t="shared" si="341"/>
        <v>0</v>
      </c>
      <c r="IQ810" s="1980">
        <f t="shared" si="341"/>
        <v>0</v>
      </c>
      <c r="IR810" s="1980">
        <f t="shared" si="341"/>
        <v>0</v>
      </c>
      <c r="IS810" s="1980">
        <f t="shared" si="341"/>
        <v>0</v>
      </c>
      <c r="IT810" s="1980">
        <f t="shared" si="341"/>
        <v>0</v>
      </c>
      <c r="IU810" s="1980">
        <f t="shared" si="341"/>
        <v>0</v>
      </c>
      <c r="IV810" s="1980">
        <f t="shared" si="341"/>
        <v>0</v>
      </c>
      <c r="IW810" s="1980">
        <f t="shared" si="341"/>
        <v>0</v>
      </c>
      <c r="IX810" s="1980">
        <f t="shared" si="341"/>
        <v>0</v>
      </c>
      <c r="IY810" s="1980">
        <f t="shared" si="341"/>
        <v>0</v>
      </c>
      <c r="IZ810" s="1980">
        <f t="shared" si="341"/>
        <v>0</v>
      </c>
      <c r="JA810" s="1980">
        <f t="shared" si="341"/>
        <v>0</v>
      </c>
      <c r="JB810" s="1980">
        <f t="shared" si="341"/>
        <v>0</v>
      </c>
      <c r="JC810" s="1980">
        <f t="shared" si="341"/>
        <v>0</v>
      </c>
      <c r="JD810" s="1980">
        <f t="shared" si="341"/>
        <v>0</v>
      </c>
      <c r="JE810" s="1980">
        <f t="shared" si="341"/>
        <v>0</v>
      </c>
      <c r="JF810" s="1980">
        <f t="shared" si="341"/>
        <v>0</v>
      </c>
      <c r="JG810" s="1980">
        <f t="shared" si="341"/>
        <v>0</v>
      </c>
      <c r="JH810" s="1980">
        <f t="shared" si="341"/>
        <v>0</v>
      </c>
      <c r="JI810" s="1980">
        <f t="shared" si="341"/>
        <v>0</v>
      </c>
      <c r="JJ810" s="1980">
        <f t="shared" si="341"/>
        <v>0</v>
      </c>
      <c r="JK810" s="1980">
        <f t="shared" si="341"/>
        <v>0</v>
      </c>
      <c r="JL810" s="1980">
        <f t="shared" si="341"/>
        <v>0</v>
      </c>
      <c r="JM810" s="1980">
        <f t="shared" si="341"/>
        <v>0</v>
      </c>
      <c r="JN810" s="1980">
        <f t="shared" si="341"/>
        <v>0</v>
      </c>
      <c r="JO810" s="1980">
        <f t="shared" si="341"/>
        <v>0</v>
      </c>
      <c r="JP810" s="1980">
        <f t="shared" si="341"/>
        <v>0</v>
      </c>
      <c r="JQ810" s="1980">
        <f t="shared" si="341"/>
        <v>0</v>
      </c>
      <c r="JR810" s="1980">
        <f t="shared" si="341"/>
        <v>0</v>
      </c>
      <c r="JS810" s="1980">
        <f t="shared" si="341"/>
        <v>0</v>
      </c>
      <c r="JT810" s="1980">
        <f t="shared" si="341"/>
        <v>0</v>
      </c>
      <c r="JU810" s="1980">
        <f t="shared" si="341"/>
        <v>0</v>
      </c>
      <c r="JV810" s="1980">
        <f t="shared" si="341"/>
        <v>0</v>
      </c>
      <c r="JW810" s="1980">
        <f t="shared" si="341"/>
        <v>0</v>
      </c>
      <c r="JX810" s="1980">
        <f t="shared" si="341"/>
        <v>0</v>
      </c>
      <c r="JY810" s="1980">
        <f t="shared" si="341"/>
        <v>0</v>
      </c>
      <c r="JZ810" s="1980">
        <f t="shared" si="341"/>
        <v>0</v>
      </c>
      <c r="KA810" s="1980">
        <f t="shared" si="341"/>
        <v>0</v>
      </c>
      <c r="KB810" s="1980">
        <f t="shared" si="341"/>
        <v>0</v>
      </c>
      <c r="KC810" s="1980">
        <f t="shared" si="341"/>
        <v>0</v>
      </c>
      <c r="KD810" s="1980">
        <f t="shared" si="341"/>
        <v>0</v>
      </c>
      <c r="KE810" s="1980">
        <f t="shared" si="341"/>
        <v>0</v>
      </c>
      <c r="KF810" s="1980">
        <f t="shared" si="341"/>
        <v>0</v>
      </c>
      <c r="KG810" s="1980">
        <f t="shared" si="341"/>
        <v>0</v>
      </c>
      <c r="KH810" s="1980">
        <f t="shared" si="341"/>
        <v>0</v>
      </c>
      <c r="KI810" s="1980">
        <f t="shared" ref="KI810:MS810" si="342">SUM(KI772:KI809)</f>
        <v>0</v>
      </c>
      <c r="KJ810" s="1980">
        <f t="shared" si="342"/>
        <v>0</v>
      </c>
      <c r="KK810" s="1980">
        <f t="shared" si="342"/>
        <v>0</v>
      </c>
      <c r="KL810" s="1980">
        <f t="shared" si="342"/>
        <v>0</v>
      </c>
      <c r="KM810" s="1980">
        <f t="shared" si="342"/>
        <v>32</v>
      </c>
      <c r="KN810" s="1980">
        <f t="shared" si="342"/>
        <v>42</v>
      </c>
      <c r="KO810" s="1980">
        <f t="shared" si="342"/>
        <v>10</v>
      </c>
      <c r="KP810" s="1980">
        <f t="shared" si="342"/>
        <v>0</v>
      </c>
      <c r="KQ810" s="1980">
        <f t="shared" si="342"/>
        <v>0</v>
      </c>
      <c r="KR810" s="1980">
        <f t="shared" si="342"/>
        <v>0</v>
      </c>
      <c r="KS810" s="1980">
        <f t="shared" si="342"/>
        <v>0</v>
      </c>
      <c r="KT810" s="1980">
        <f t="shared" si="342"/>
        <v>0</v>
      </c>
      <c r="KU810" s="1980">
        <f t="shared" si="342"/>
        <v>0</v>
      </c>
      <c r="KV810" s="1980">
        <f t="shared" si="342"/>
        <v>0</v>
      </c>
      <c r="KW810" s="1980">
        <f t="shared" si="342"/>
        <v>0</v>
      </c>
      <c r="KX810" s="1980">
        <f t="shared" si="342"/>
        <v>0</v>
      </c>
      <c r="KY810" s="1980">
        <f t="shared" si="342"/>
        <v>0</v>
      </c>
      <c r="KZ810" s="1980">
        <f t="shared" si="342"/>
        <v>0</v>
      </c>
      <c r="LA810" s="1980">
        <f t="shared" si="342"/>
        <v>0</v>
      </c>
      <c r="LB810" s="1980">
        <f t="shared" si="342"/>
        <v>0</v>
      </c>
      <c r="LC810" s="1980">
        <f t="shared" si="342"/>
        <v>0</v>
      </c>
      <c r="LD810" s="1980">
        <f t="shared" si="342"/>
        <v>0</v>
      </c>
      <c r="LE810" s="1980">
        <f t="shared" si="342"/>
        <v>0</v>
      </c>
      <c r="LF810" s="1980">
        <f t="shared" si="342"/>
        <v>0</v>
      </c>
      <c r="LG810" s="1980">
        <f t="shared" si="342"/>
        <v>0</v>
      </c>
      <c r="LH810" s="1980">
        <f t="shared" si="342"/>
        <v>0</v>
      </c>
      <c r="LI810" s="1980">
        <f t="shared" si="342"/>
        <v>0</v>
      </c>
      <c r="LJ810" s="1980">
        <f t="shared" si="342"/>
        <v>0</v>
      </c>
      <c r="LK810" s="1980">
        <f t="shared" si="342"/>
        <v>0</v>
      </c>
      <c r="LL810" s="1980">
        <f t="shared" si="342"/>
        <v>0</v>
      </c>
      <c r="LM810" s="1980">
        <f t="shared" si="342"/>
        <v>0</v>
      </c>
      <c r="LN810" s="1980">
        <f t="shared" si="342"/>
        <v>0</v>
      </c>
      <c r="LO810" s="1980">
        <f t="shared" si="342"/>
        <v>0</v>
      </c>
      <c r="LP810" s="1980">
        <f t="shared" si="342"/>
        <v>0</v>
      </c>
      <c r="LQ810" s="1980">
        <f t="shared" si="342"/>
        <v>0</v>
      </c>
      <c r="LR810" s="1980">
        <f t="shared" si="342"/>
        <v>0</v>
      </c>
      <c r="LS810" s="1980">
        <f t="shared" si="342"/>
        <v>0</v>
      </c>
      <c r="LT810" s="1980">
        <f t="shared" si="342"/>
        <v>0</v>
      </c>
      <c r="LU810" s="1980">
        <f t="shared" si="342"/>
        <v>0</v>
      </c>
      <c r="LV810" s="1980">
        <f t="shared" si="342"/>
        <v>0</v>
      </c>
      <c r="LW810" s="1980">
        <f t="shared" si="342"/>
        <v>0</v>
      </c>
      <c r="LX810" s="1980">
        <f t="shared" si="342"/>
        <v>0</v>
      </c>
      <c r="LY810" s="1980">
        <f t="shared" si="342"/>
        <v>0</v>
      </c>
      <c r="LZ810" s="1980">
        <f t="shared" si="342"/>
        <v>0</v>
      </c>
      <c r="MA810" s="1980">
        <f t="shared" si="342"/>
        <v>0</v>
      </c>
      <c r="MB810" s="1980">
        <f t="shared" si="342"/>
        <v>0</v>
      </c>
      <c r="MC810" s="1980">
        <f t="shared" si="342"/>
        <v>0</v>
      </c>
      <c r="MD810" s="1980">
        <f t="shared" si="342"/>
        <v>0</v>
      </c>
      <c r="ME810" s="1980">
        <f t="shared" si="342"/>
        <v>0</v>
      </c>
      <c r="MF810" s="1980">
        <f t="shared" si="342"/>
        <v>0</v>
      </c>
      <c r="MG810" s="1980">
        <f t="shared" si="342"/>
        <v>0</v>
      </c>
      <c r="MH810" s="1980">
        <f t="shared" si="342"/>
        <v>0</v>
      </c>
      <c r="MI810" s="1980">
        <f t="shared" si="342"/>
        <v>0</v>
      </c>
      <c r="MJ810" s="1980">
        <f t="shared" si="342"/>
        <v>0</v>
      </c>
      <c r="MK810" s="1980">
        <f t="shared" si="342"/>
        <v>32</v>
      </c>
      <c r="ML810" s="1980">
        <f t="shared" si="342"/>
        <v>42</v>
      </c>
      <c r="MM810" s="1980">
        <f t="shared" si="342"/>
        <v>10</v>
      </c>
      <c r="MN810" s="1980">
        <f t="shared" si="342"/>
        <v>0</v>
      </c>
      <c r="MO810" s="1980">
        <f t="shared" si="342"/>
        <v>0</v>
      </c>
      <c r="MP810" s="1980">
        <f t="shared" si="342"/>
        <v>0</v>
      </c>
      <c r="MQ810" s="1980">
        <f t="shared" si="342"/>
        <v>0</v>
      </c>
      <c r="MR810" s="1980">
        <f t="shared" si="342"/>
        <v>0</v>
      </c>
      <c r="MS810" s="1980">
        <f t="shared" si="342"/>
        <v>0</v>
      </c>
    </row>
    <row r="811" spans="1:357">
      <c r="B811" s="1987">
        <f>'Part VI-Revenues &amp; Expenses'!B49</f>
        <v>57.605633802816904</v>
      </c>
      <c r="C811" s="1987"/>
      <c r="D811" s="1955" t="s">
        <v>4286</v>
      </c>
      <c r="E811" s="1982">
        <f>SUM(E779:E809)</f>
        <v>71</v>
      </c>
      <c r="F811" s="1983">
        <f>(E779*F779+E780*F780+E781*F781+E782*F782+E783*F783+E784*F784+E785*F785+E786*F786+E787*F787+E788*F788+E789*F789+E790*F790+E791*F791+E792*F792+E793*F793+E794*F794+E795*F795+E796*F796+E797*F797+E798*F798+E799*F799+E800*F800+E801*F801+E802*F802+E803*F803+E804*F804+E805*F805+E806*F806+E807*F807+E808*F808+E809*F809)</f>
        <v>62730</v>
      </c>
      <c r="G811" s="1984"/>
      <c r="H811" s="1314" t="s">
        <v>4378</v>
      </c>
      <c r="I811" s="1985" t="str">
        <f>IF(O829=0,"",IF(SUM(O821:O824)/O829&gt;=0.2,"Pass","Fail"))</f>
        <v>Pass</v>
      </c>
      <c r="J811" s="458"/>
      <c r="K811" s="1981" t="s">
        <v>802</v>
      </c>
      <c r="L811" s="1986">
        <f>L810*12</f>
        <v>768504</v>
      </c>
      <c r="M811" s="1311"/>
      <c r="N811" s="1311"/>
      <c r="O811" s="1311"/>
      <c r="P811" s="1311"/>
      <c r="Q811" s="1311"/>
      <c r="R811" s="1311"/>
      <c r="S811" s="1311"/>
      <c r="T811" s="1311"/>
      <c r="U811" s="1311"/>
      <c r="V811" s="1980"/>
      <c r="W811" s="1980"/>
      <c r="X811" s="1980"/>
      <c r="Y811" s="1980"/>
      <c r="Z811" s="1980"/>
      <c r="AA811" s="1980"/>
      <c r="AB811" s="1980"/>
      <c r="AC811" s="1980"/>
      <c r="AD811" s="1980"/>
      <c r="AE811" s="1980"/>
      <c r="AF811" s="1980"/>
      <c r="AG811" s="1980"/>
      <c r="AH811" s="1980"/>
      <c r="AI811" s="1980"/>
      <c r="AJ811" s="1980"/>
      <c r="AK811" s="1980"/>
      <c r="AL811" s="1980"/>
      <c r="AM811" s="1980"/>
      <c r="AN811" s="1980"/>
      <c r="AO811" s="1980"/>
      <c r="AP811" s="1980"/>
      <c r="AQ811" s="1980"/>
      <c r="AR811" s="1980"/>
      <c r="AS811" s="1980"/>
      <c r="AT811" s="1980"/>
      <c r="AU811" s="1980"/>
      <c r="AV811" s="1980"/>
      <c r="AW811" s="1980"/>
      <c r="AX811" s="1980"/>
      <c r="AY811" s="1980"/>
      <c r="AZ811" s="1980"/>
      <c r="BA811" s="1980"/>
      <c r="BB811" s="1980"/>
      <c r="BC811" s="1980"/>
      <c r="BD811" s="1980"/>
      <c r="BE811" s="1980"/>
      <c r="BF811" s="1980"/>
      <c r="BG811" s="1980"/>
      <c r="BH811" s="1980"/>
      <c r="BI811" s="1980"/>
      <c r="BJ811" s="1980"/>
      <c r="BK811" s="1980"/>
      <c r="BL811" s="1980"/>
      <c r="BM811" s="1980"/>
      <c r="BN811" s="1980"/>
      <c r="BO811" s="1980"/>
      <c r="BP811" s="1980"/>
      <c r="BQ811" s="1980"/>
      <c r="BR811" s="1980"/>
      <c r="BS811" s="1980"/>
      <c r="BT811" s="1980"/>
      <c r="BU811" s="1980"/>
      <c r="BV811" s="1980"/>
      <c r="BW811" s="1980"/>
      <c r="BX811" s="1980"/>
      <c r="BY811" s="1980"/>
      <c r="BZ811" s="1980"/>
      <c r="CA811" s="1980"/>
      <c r="CB811" s="1980"/>
      <c r="CC811" s="1980"/>
      <c r="CD811" s="1980"/>
      <c r="CE811" s="1980"/>
      <c r="CF811" s="1980"/>
      <c r="CG811" s="1980"/>
      <c r="CH811" s="1980"/>
      <c r="CI811" s="1980"/>
      <c r="CJ811" s="1980"/>
      <c r="CK811" s="1980"/>
      <c r="CL811" s="1980"/>
      <c r="CM811" s="1980"/>
      <c r="CN811" s="1980"/>
      <c r="CO811" s="1980"/>
      <c r="CP811" s="1980"/>
      <c r="CQ811" s="1980"/>
      <c r="CR811" s="1980"/>
      <c r="CS811" s="1980"/>
      <c r="CT811" s="1980"/>
      <c r="CU811" s="1980"/>
      <c r="CV811" s="1980"/>
      <c r="CW811" s="1980"/>
      <c r="CX811" s="1980"/>
      <c r="CY811" s="1980"/>
      <c r="CZ811" s="1980"/>
      <c r="DA811" s="1980"/>
      <c r="DB811" s="1980"/>
      <c r="DC811" s="1980"/>
      <c r="DD811" s="1980"/>
      <c r="DE811" s="1980"/>
      <c r="DF811" s="1980"/>
      <c r="DG811" s="1980"/>
      <c r="DH811" s="1980"/>
      <c r="DI811" s="1980"/>
      <c r="DJ811" s="1980"/>
      <c r="DK811" s="1980"/>
      <c r="DL811" s="1980"/>
      <c r="DM811" s="1980"/>
      <c r="DN811" s="1980"/>
      <c r="DO811" s="1980"/>
      <c r="DP811" s="1980"/>
      <c r="DQ811" s="1980"/>
      <c r="DR811" s="1980"/>
      <c r="DS811" s="1980"/>
      <c r="DT811" s="1980"/>
      <c r="DU811" s="1980"/>
      <c r="DV811" s="1980"/>
      <c r="DW811" s="1980"/>
      <c r="DX811" s="1980"/>
      <c r="DY811" s="1980"/>
      <c r="DZ811" s="1980"/>
      <c r="EA811" s="1980"/>
      <c r="EB811" s="1980"/>
      <c r="EC811" s="1980"/>
      <c r="ED811" s="1980"/>
      <c r="EE811" s="1980"/>
      <c r="EF811" s="1980"/>
      <c r="EG811" s="1980"/>
      <c r="EH811" s="1980"/>
      <c r="EI811" s="1980"/>
      <c r="EJ811" s="1980"/>
      <c r="EK811" s="1980"/>
      <c r="EL811" s="1980"/>
      <c r="EM811" s="1980"/>
      <c r="EN811" s="1980"/>
      <c r="EO811" s="1980"/>
      <c r="EP811" s="1980"/>
      <c r="EQ811" s="1980"/>
      <c r="ER811" s="1980"/>
      <c r="ES811" s="1980"/>
      <c r="ET811" s="1980"/>
      <c r="EU811" s="1980"/>
      <c r="EV811" s="1980"/>
      <c r="EW811" s="1980"/>
      <c r="EX811" s="1980"/>
      <c r="EY811" s="1980"/>
      <c r="EZ811" s="1980"/>
      <c r="FA811" s="1980"/>
      <c r="FB811" s="1980"/>
      <c r="FC811" s="1980"/>
      <c r="FD811" s="1980"/>
      <c r="FE811" s="1980"/>
      <c r="FF811" s="1980"/>
      <c r="FG811" s="1980"/>
      <c r="FH811" s="1980"/>
      <c r="FI811" s="1980"/>
      <c r="FJ811" s="1980"/>
      <c r="FK811" s="1980"/>
      <c r="FL811" s="1980"/>
      <c r="FM811" s="1980"/>
      <c r="FN811" s="1980"/>
      <c r="FO811" s="1980"/>
      <c r="FP811" s="1980"/>
      <c r="FQ811" s="1980"/>
      <c r="FR811" s="1980"/>
      <c r="FS811" s="1980"/>
      <c r="FT811" s="1980"/>
      <c r="FU811" s="1980"/>
      <c r="FV811" s="1980"/>
      <c r="FW811" s="1980"/>
      <c r="FX811" s="1980"/>
      <c r="FY811" s="1980"/>
      <c r="FZ811" s="1980"/>
      <c r="GA811" s="1980"/>
      <c r="GB811" s="1980"/>
      <c r="GC811" s="1980"/>
      <c r="GD811" s="1980"/>
      <c r="GE811" s="1980"/>
      <c r="GF811" s="1980"/>
      <c r="GG811" s="1980"/>
      <c r="GH811" s="1980"/>
      <c r="GI811" s="1980"/>
      <c r="GJ811" s="1980"/>
      <c r="GK811" s="1980"/>
      <c r="GL811" s="1980"/>
      <c r="GM811" s="1980"/>
      <c r="GN811" s="1980"/>
      <c r="GO811" s="1980"/>
      <c r="GP811" s="1980"/>
      <c r="GQ811" s="1980"/>
      <c r="GR811" s="1980"/>
      <c r="GS811" s="1980"/>
      <c r="GT811" s="1980"/>
      <c r="GU811" s="1980"/>
      <c r="GV811" s="1980"/>
      <c r="GW811" s="1980"/>
      <c r="GX811" s="1980"/>
      <c r="GY811" s="1980"/>
      <c r="GZ811" s="1980"/>
      <c r="HA811" s="1980"/>
      <c r="HB811" s="1980"/>
      <c r="HC811" s="1980"/>
      <c r="HD811" s="1980"/>
      <c r="HE811" s="1980"/>
      <c r="HF811" s="1980"/>
      <c r="HG811" s="1980"/>
      <c r="HH811" s="1980"/>
      <c r="HI811" s="1980"/>
      <c r="HJ811" s="1980"/>
      <c r="HK811" s="1980"/>
      <c r="HL811" s="1980"/>
      <c r="HM811" s="1980"/>
      <c r="HN811" s="1980"/>
      <c r="HO811" s="1980"/>
      <c r="HP811" s="1980"/>
      <c r="HQ811" s="1980"/>
      <c r="HR811" s="1980"/>
      <c r="HS811" s="1980"/>
      <c r="HT811" s="1980"/>
      <c r="HU811" s="1980"/>
      <c r="HV811" s="1980"/>
      <c r="HW811" s="1980"/>
      <c r="HX811" s="1980"/>
      <c r="HY811" s="1980"/>
      <c r="HZ811" s="1980"/>
      <c r="IA811" s="1980"/>
      <c r="IB811" s="1980"/>
      <c r="IC811" s="1980"/>
      <c r="ID811" s="1980"/>
      <c r="IE811" s="1980"/>
      <c r="IF811" s="1980"/>
      <c r="IG811" s="1980"/>
      <c r="IH811" s="1980"/>
      <c r="II811" s="1980"/>
      <c r="IJ811" s="1980"/>
      <c r="IK811" s="1980"/>
      <c r="IL811" s="1980"/>
      <c r="IM811" s="1980"/>
      <c r="IN811" s="1980"/>
      <c r="IO811" s="1980"/>
      <c r="IP811" s="1980"/>
      <c r="IQ811" s="1980"/>
      <c r="IR811" s="1980"/>
      <c r="IS811" s="1980"/>
      <c r="IT811" s="1980"/>
      <c r="IU811" s="1980"/>
      <c r="IV811" s="1980"/>
      <c r="IW811" s="1980"/>
      <c r="IX811" s="1980"/>
      <c r="IY811" s="1980"/>
      <c r="IZ811" s="1980"/>
      <c r="JA811" s="1980"/>
      <c r="JB811" s="1980"/>
      <c r="JC811" s="1980"/>
      <c r="JD811" s="1980"/>
      <c r="JE811" s="1980"/>
      <c r="JF811" s="1980"/>
      <c r="JG811" s="1980"/>
      <c r="JH811" s="1980"/>
      <c r="JI811" s="1980"/>
      <c r="JJ811" s="1980"/>
      <c r="JK811" s="1980"/>
      <c r="JL811" s="1980"/>
      <c r="JM811" s="1980"/>
      <c r="JN811" s="1980"/>
      <c r="JO811" s="1980"/>
      <c r="JP811" s="1980"/>
      <c r="JQ811" s="1980"/>
      <c r="JR811" s="1980"/>
      <c r="JS811" s="1980"/>
      <c r="JT811" s="1980"/>
      <c r="JU811" s="1980"/>
      <c r="JV811" s="1980"/>
      <c r="JW811" s="1980"/>
      <c r="JX811" s="1980"/>
      <c r="JY811" s="1980"/>
      <c r="JZ811" s="1980"/>
      <c r="KA811" s="1980"/>
      <c r="KB811" s="1980"/>
      <c r="KC811" s="1980"/>
      <c r="KD811" s="1980"/>
      <c r="KE811" s="1980"/>
      <c r="KF811" s="1980"/>
      <c r="KG811" s="1980"/>
      <c r="KH811" s="1980"/>
      <c r="KI811" s="1980"/>
      <c r="KJ811" s="1980"/>
      <c r="KK811" s="1980"/>
      <c r="KL811" s="1980"/>
      <c r="KM811" s="1980"/>
      <c r="KN811" s="1980"/>
      <c r="KO811" s="1980"/>
      <c r="KP811" s="1980"/>
      <c r="KQ811" s="1980"/>
      <c r="KR811" s="1980"/>
      <c r="KS811" s="1980"/>
      <c r="KT811" s="1980"/>
      <c r="KU811" s="1980"/>
      <c r="KV811" s="1980"/>
      <c r="KW811" s="1980"/>
      <c r="KX811" s="1980"/>
      <c r="KY811" s="1980"/>
      <c r="KZ811" s="1980"/>
      <c r="LA811" s="1980"/>
      <c r="LB811" s="1980"/>
      <c r="LC811" s="1980"/>
      <c r="LD811" s="1980"/>
      <c r="LE811" s="1980"/>
      <c r="LF811" s="1980"/>
      <c r="LG811" s="1980"/>
      <c r="LH811" s="1980"/>
      <c r="LI811" s="1980"/>
      <c r="LJ811" s="1980"/>
      <c r="LK811" s="1980"/>
      <c r="LL811" s="1980"/>
      <c r="LM811" s="1980"/>
      <c r="LN811" s="1980"/>
      <c r="LO811" s="1980"/>
      <c r="LP811" s="1980"/>
      <c r="LQ811" s="1980"/>
      <c r="LR811" s="1980"/>
      <c r="LS811" s="1980"/>
      <c r="LT811" s="1980"/>
      <c r="LU811" s="1980"/>
      <c r="LV811" s="1980"/>
      <c r="LW811" s="1980"/>
      <c r="LX811" s="1980"/>
      <c r="LY811" s="1980"/>
      <c r="LZ811" s="1980"/>
      <c r="MA811" s="1980"/>
      <c r="MB811" s="1980"/>
      <c r="MC811" s="1980"/>
      <c r="MD811" s="1980"/>
    </row>
    <row r="812" spans="1:357">
      <c r="A812" s="457"/>
      <c r="B812" s="1311"/>
      <c r="D812" s="1988"/>
      <c r="E812" s="1986"/>
      <c r="F812" s="1986"/>
      <c r="G812" s="458"/>
      <c r="H812" s="458"/>
      <c r="I812" s="458"/>
      <c r="J812" s="458"/>
      <c r="K812" s="1988"/>
      <c r="L812" s="1986"/>
      <c r="M812" s="1311"/>
      <c r="N812" s="1311"/>
      <c r="O812" s="1311"/>
      <c r="P812" s="1311"/>
      <c r="Q812" s="1311"/>
      <c r="R812" s="1311"/>
      <c r="S812" s="1311"/>
      <c r="T812" s="1311"/>
      <c r="U812" s="1311"/>
      <c r="V812" s="1980"/>
      <c r="W812" s="1980"/>
      <c r="X812" s="1980"/>
      <c r="Y812" s="1980"/>
      <c r="Z812" s="1980"/>
      <c r="AA812" s="1980"/>
      <c r="AB812" s="1980"/>
      <c r="AC812" s="1980"/>
      <c r="AD812" s="1980"/>
      <c r="AE812" s="1980"/>
      <c r="AF812" s="1980"/>
      <c r="AG812" s="1980"/>
      <c r="AH812" s="1980"/>
      <c r="AI812" s="1980"/>
      <c r="AJ812" s="1980"/>
      <c r="AK812" s="1980"/>
      <c r="AL812" s="1980"/>
      <c r="AM812" s="1980"/>
      <c r="AN812" s="1980"/>
      <c r="AO812" s="1980"/>
      <c r="AP812" s="1980"/>
      <c r="AQ812" s="1980"/>
      <c r="AR812" s="1980"/>
      <c r="AS812" s="1980"/>
      <c r="AT812" s="1980"/>
      <c r="AU812" s="1980"/>
      <c r="AV812" s="1980"/>
      <c r="AW812" s="1980"/>
      <c r="AX812" s="1980"/>
      <c r="AY812" s="1980"/>
      <c r="AZ812" s="1980"/>
      <c r="BA812" s="1980"/>
      <c r="BB812" s="1980"/>
      <c r="BC812" s="1980"/>
      <c r="BD812" s="1980"/>
      <c r="BE812" s="1980"/>
      <c r="BF812" s="1980"/>
      <c r="BG812" s="1980"/>
      <c r="BH812" s="1980"/>
      <c r="BI812" s="1980"/>
      <c r="BJ812" s="1980"/>
      <c r="BK812" s="1980"/>
      <c r="BL812" s="1980"/>
      <c r="BM812" s="1980"/>
      <c r="BN812" s="1980"/>
      <c r="BO812" s="1980"/>
      <c r="BP812" s="1980"/>
      <c r="BQ812" s="1980"/>
      <c r="BR812" s="1980"/>
      <c r="BS812" s="1980"/>
      <c r="BT812" s="1980"/>
      <c r="BU812" s="1980"/>
      <c r="BV812" s="1980"/>
      <c r="BW812" s="1980"/>
      <c r="BX812" s="1980"/>
      <c r="BY812" s="1980"/>
      <c r="BZ812" s="1980"/>
      <c r="CA812" s="1980"/>
      <c r="CB812" s="1980"/>
      <c r="CC812" s="1980"/>
      <c r="CD812" s="1980"/>
      <c r="CE812" s="1980"/>
      <c r="CF812" s="1980"/>
      <c r="CG812" s="1980"/>
      <c r="CH812" s="1980"/>
      <c r="CI812" s="1980"/>
      <c r="CJ812" s="1980"/>
      <c r="CK812" s="1980"/>
      <c r="CL812" s="1980"/>
      <c r="CM812" s="1980"/>
      <c r="CN812" s="1980"/>
      <c r="CO812" s="1980"/>
      <c r="CP812" s="1980"/>
      <c r="CQ812" s="1980"/>
      <c r="CR812" s="1980"/>
      <c r="CS812" s="1980"/>
      <c r="CT812" s="1980"/>
      <c r="CU812" s="1980"/>
      <c r="CV812" s="1980"/>
      <c r="CW812" s="1980"/>
      <c r="CX812" s="1980"/>
      <c r="CY812" s="1980"/>
      <c r="CZ812" s="1980"/>
      <c r="DA812" s="1980"/>
      <c r="DB812" s="1980"/>
      <c r="DC812" s="1980"/>
      <c r="DD812" s="1980"/>
      <c r="DE812" s="1980"/>
      <c r="DF812" s="1980"/>
      <c r="DG812" s="1980"/>
      <c r="DH812" s="1980"/>
      <c r="DI812" s="1980"/>
      <c r="DJ812" s="1980"/>
      <c r="DK812" s="1980"/>
      <c r="DL812" s="1980"/>
      <c r="DM812" s="1980"/>
      <c r="DN812" s="1980"/>
      <c r="DO812" s="1980"/>
      <c r="DP812" s="1980"/>
      <c r="DQ812" s="1980"/>
      <c r="DR812" s="1980"/>
      <c r="DS812" s="1980"/>
      <c r="DT812" s="1980"/>
      <c r="DU812" s="1980"/>
      <c r="DV812" s="1980"/>
      <c r="DW812" s="1980"/>
      <c r="DX812" s="1980"/>
      <c r="DY812" s="1980"/>
      <c r="DZ812" s="1980"/>
      <c r="EA812" s="1980"/>
      <c r="EB812" s="1980"/>
      <c r="EC812" s="1980"/>
      <c r="ED812" s="1980"/>
      <c r="EE812" s="1980"/>
      <c r="EF812" s="1980"/>
      <c r="EG812" s="1980"/>
      <c r="EH812" s="1980"/>
      <c r="EI812" s="1980"/>
      <c r="EJ812" s="1980"/>
      <c r="EK812" s="1980"/>
      <c r="EL812" s="1980"/>
      <c r="EM812" s="1980"/>
      <c r="EN812" s="1980"/>
      <c r="EO812" s="1980"/>
      <c r="EP812" s="1980"/>
      <c r="EQ812" s="1980"/>
      <c r="ER812" s="1980"/>
      <c r="ES812" s="1980"/>
      <c r="ET812" s="1980"/>
      <c r="EU812" s="1980"/>
      <c r="EV812" s="1980"/>
      <c r="EW812" s="1980"/>
      <c r="EX812" s="1980"/>
      <c r="EY812" s="1980"/>
      <c r="EZ812" s="1980"/>
      <c r="FA812" s="1980"/>
      <c r="FB812" s="1980"/>
      <c r="FC812" s="1980"/>
      <c r="FD812" s="1980"/>
      <c r="FE812" s="1980"/>
      <c r="FF812" s="1980"/>
      <c r="FG812" s="1980"/>
      <c r="FH812" s="1980"/>
      <c r="FI812" s="1980"/>
      <c r="FJ812" s="1980"/>
      <c r="FK812" s="1980"/>
      <c r="FL812" s="1980"/>
      <c r="FM812" s="1980"/>
      <c r="FN812" s="1980"/>
      <c r="FO812" s="1980"/>
      <c r="FP812" s="1980"/>
      <c r="FQ812" s="1980"/>
      <c r="FR812" s="1980"/>
      <c r="FS812" s="1980"/>
      <c r="FT812" s="1980"/>
      <c r="FU812" s="1980"/>
      <c r="FV812" s="1980"/>
      <c r="FW812" s="1980"/>
      <c r="FX812" s="1980"/>
      <c r="FY812" s="1980"/>
      <c r="FZ812" s="1980"/>
      <c r="GA812" s="1980"/>
      <c r="GB812" s="1980"/>
      <c r="GC812" s="1980"/>
      <c r="GD812" s="1980"/>
      <c r="GE812" s="1980"/>
      <c r="GF812" s="1980"/>
      <c r="GG812" s="1980"/>
      <c r="GH812" s="1980"/>
      <c r="GI812" s="1980"/>
      <c r="GJ812" s="1980"/>
      <c r="GK812" s="1980"/>
      <c r="GL812" s="1980"/>
      <c r="GM812" s="1980"/>
      <c r="GN812" s="1980"/>
      <c r="GO812" s="1980"/>
      <c r="GP812" s="1980"/>
      <c r="GQ812" s="1980"/>
      <c r="GR812" s="1980"/>
      <c r="GS812" s="1980"/>
      <c r="GT812" s="1980"/>
      <c r="GU812" s="1980"/>
      <c r="GV812" s="1980"/>
      <c r="GW812" s="1980"/>
      <c r="GX812" s="1980"/>
      <c r="GY812" s="1980"/>
      <c r="GZ812" s="1980"/>
      <c r="HA812" s="1980"/>
      <c r="HB812" s="1980"/>
      <c r="HC812" s="1980"/>
      <c r="HD812" s="1980"/>
      <c r="HE812" s="1980"/>
      <c r="HF812" s="1980"/>
      <c r="HG812" s="1980"/>
      <c r="HH812" s="1980"/>
      <c r="HI812" s="1980"/>
      <c r="HJ812" s="1980"/>
      <c r="HK812" s="1980"/>
      <c r="HL812" s="1980"/>
      <c r="HM812" s="1980"/>
      <c r="HN812" s="1980"/>
      <c r="HO812" s="1980"/>
      <c r="HP812" s="1980"/>
      <c r="HQ812" s="1980"/>
      <c r="HR812" s="1980"/>
      <c r="HS812" s="1980"/>
      <c r="HT812" s="1980"/>
      <c r="HU812" s="1980"/>
      <c r="HV812" s="1980"/>
      <c r="HW812" s="1980"/>
      <c r="HX812" s="1980"/>
      <c r="HY812" s="1980"/>
      <c r="HZ812" s="1980"/>
      <c r="IA812" s="1980"/>
      <c r="IB812" s="1980"/>
      <c r="IC812" s="1980"/>
      <c r="ID812" s="1980"/>
      <c r="IE812" s="1980"/>
      <c r="IF812" s="1980"/>
      <c r="IG812" s="1980"/>
      <c r="IH812" s="1980"/>
      <c r="II812" s="1980"/>
      <c r="IJ812" s="1980"/>
      <c r="IK812" s="1980"/>
      <c r="IL812" s="1980"/>
      <c r="IM812" s="1980"/>
      <c r="IN812" s="1980"/>
      <c r="IO812" s="1980"/>
      <c r="IP812" s="1980"/>
      <c r="IQ812" s="1980"/>
      <c r="IR812" s="1980"/>
      <c r="IS812" s="1980"/>
      <c r="IT812" s="1980"/>
      <c r="IU812" s="1980"/>
      <c r="IV812" s="1980"/>
      <c r="IW812" s="1980"/>
      <c r="IX812" s="1980"/>
      <c r="IY812" s="1980"/>
      <c r="IZ812" s="1980"/>
      <c r="JA812" s="1980"/>
      <c r="JB812" s="1980"/>
      <c r="JC812" s="1980"/>
      <c r="JD812" s="1980"/>
      <c r="JE812" s="1980"/>
      <c r="JF812" s="1980"/>
      <c r="JG812" s="1980"/>
      <c r="JH812" s="1980"/>
      <c r="JI812" s="1980"/>
      <c r="JJ812" s="1980"/>
      <c r="JK812" s="1980"/>
      <c r="JL812" s="1980"/>
      <c r="JM812" s="1980"/>
      <c r="JN812" s="1980"/>
      <c r="JO812" s="1980"/>
      <c r="JP812" s="1980"/>
      <c r="JQ812" s="1980"/>
      <c r="JR812" s="1980"/>
      <c r="JS812" s="1980"/>
      <c r="JT812" s="1980"/>
      <c r="JU812" s="1980"/>
      <c r="JV812" s="1980"/>
      <c r="JW812" s="1980"/>
      <c r="JX812" s="1980"/>
      <c r="JY812" s="1980"/>
      <c r="JZ812" s="1980"/>
      <c r="KA812" s="1980"/>
      <c r="KB812" s="1980"/>
      <c r="KC812" s="1980"/>
      <c r="KD812" s="1980"/>
      <c r="KE812" s="1980"/>
      <c r="KF812" s="1980"/>
      <c r="KG812" s="1980"/>
      <c r="KH812" s="1980"/>
      <c r="KI812" s="1980"/>
      <c r="KJ812" s="1980"/>
      <c r="KK812" s="1980"/>
      <c r="KL812" s="1980"/>
      <c r="KM812" s="1980"/>
      <c r="KN812" s="1980"/>
      <c r="KO812" s="1980"/>
      <c r="KP812" s="1980"/>
      <c r="KQ812" s="1980"/>
      <c r="KR812" s="1980"/>
      <c r="KS812" s="1980"/>
      <c r="KT812" s="1980"/>
      <c r="KU812" s="1980"/>
      <c r="KV812" s="1980"/>
      <c r="KW812" s="1980"/>
      <c r="KX812" s="1980"/>
      <c r="KY812" s="1980"/>
      <c r="KZ812" s="1980"/>
      <c r="LA812" s="1980"/>
      <c r="LB812" s="1980"/>
      <c r="LC812" s="1980"/>
      <c r="LD812" s="1980"/>
      <c r="LE812" s="1980"/>
      <c r="LF812" s="1980"/>
      <c r="LG812" s="1980"/>
      <c r="LH812" s="1980"/>
      <c r="LI812" s="1980"/>
      <c r="LJ812" s="1980"/>
      <c r="LK812" s="1980"/>
      <c r="LL812" s="1980"/>
      <c r="LM812" s="1980"/>
      <c r="LN812" s="1980"/>
      <c r="LO812" s="1980"/>
      <c r="LP812" s="1980"/>
      <c r="LQ812" s="1980"/>
      <c r="LR812" s="1980"/>
      <c r="LS812" s="1980"/>
      <c r="LT812" s="1980"/>
      <c r="LU812" s="1980"/>
      <c r="LV812" s="1980"/>
      <c r="LW812" s="1980"/>
      <c r="LX812" s="1980"/>
      <c r="LY812" s="1980"/>
      <c r="LZ812" s="1980"/>
      <c r="MA812" s="1980"/>
      <c r="MB812" s="1980"/>
      <c r="MC812" s="1980"/>
      <c r="MD812" s="1980"/>
    </row>
    <row r="813" spans="1:357" ht="12.75" customHeight="1">
      <c r="A813" s="1925" t="s">
        <v>5045</v>
      </c>
      <c r="B813" s="1925"/>
      <c r="C813" s="1925"/>
      <c r="D813" s="1925"/>
      <c r="E813" s="1925"/>
      <c r="F813" s="1925"/>
      <c r="G813" s="1925"/>
      <c r="H813" s="1925"/>
      <c r="I813" s="1925"/>
      <c r="J813" s="1925"/>
      <c r="K813" s="1925"/>
      <c r="L813" s="1925"/>
      <c r="M813" s="1925"/>
      <c r="N813" s="1925"/>
      <c r="O813" s="1925"/>
      <c r="P813" s="1925"/>
      <c r="Q813" s="1989"/>
      <c r="R813" s="1311"/>
      <c r="S813" s="1311"/>
      <c r="T813" s="1311"/>
      <c r="U813" s="1311"/>
      <c r="V813" s="1980"/>
      <c r="W813" s="1980"/>
      <c r="X813" s="1980"/>
      <c r="Y813" s="1980"/>
      <c r="Z813" s="1980"/>
      <c r="AA813" s="1980"/>
      <c r="AB813" s="1980"/>
      <c r="AC813" s="1980"/>
      <c r="AD813" s="1980"/>
      <c r="AE813" s="1980"/>
      <c r="AF813" s="1980"/>
      <c r="AG813" s="1980"/>
      <c r="AH813" s="1980"/>
      <c r="AI813" s="1980"/>
      <c r="AJ813" s="1980"/>
      <c r="AK813" s="1980"/>
      <c r="AL813" s="1980"/>
      <c r="AM813" s="1980"/>
      <c r="AN813" s="1980"/>
      <c r="AO813" s="1980"/>
      <c r="AP813" s="1980"/>
      <c r="AQ813" s="1980"/>
      <c r="AR813" s="1980"/>
      <c r="AS813" s="1980"/>
      <c r="AT813" s="1980"/>
      <c r="AU813" s="1980"/>
      <c r="AV813" s="1980"/>
      <c r="AW813" s="1980"/>
      <c r="AX813" s="1980"/>
      <c r="AY813" s="1980"/>
      <c r="AZ813" s="1980"/>
      <c r="BA813" s="1980"/>
      <c r="BB813" s="1980"/>
      <c r="BC813" s="1980"/>
      <c r="BD813" s="1980"/>
      <c r="BE813" s="1980"/>
      <c r="BF813" s="1980"/>
      <c r="BG813" s="1980"/>
      <c r="BH813" s="1980"/>
      <c r="BI813" s="1980"/>
      <c r="BJ813" s="1980"/>
      <c r="BK813" s="1980"/>
      <c r="BL813" s="1980"/>
      <c r="BM813" s="1980"/>
      <c r="BN813" s="1980"/>
      <c r="BO813" s="1980"/>
      <c r="BP813" s="1980"/>
      <c r="BQ813" s="1980"/>
      <c r="BR813" s="1980"/>
      <c r="BS813" s="1980"/>
      <c r="BT813" s="1980"/>
      <c r="BU813" s="1980"/>
      <c r="BV813" s="1980"/>
      <c r="BW813" s="1980"/>
      <c r="BX813" s="1980"/>
      <c r="BY813" s="1980"/>
      <c r="BZ813" s="1980"/>
      <c r="CA813" s="1980"/>
      <c r="CB813" s="1980"/>
      <c r="CC813" s="1980"/>
      <c r="CD813" s="1980"/>
      <c r="CE813" s="1980"/>
      <c r="CF813" s="1980"/>
      <c r="CG813" s="1980"/>
      <c r="CH813" s="1980"/>
      <c r="CI813" s="1980"/>
      <c r="CJ813" s="1980"/>
      <c r="CK813" s="1980"/>
      <c r="CL813" s="1980"/>
      <c r="CM813" s="1980"/>
      <c r="CN813" s="1980"/>
      <c r="CO813" s="1980"/>
      <c r="CP813" s="1980"/>
      <c r="CQ813" s="1980"/>
      <c r="CR813" s="1980"/>
      <c r="CS813" s="1980"/>
      <c r="CT813" s="1980"/>
      <c r="CU813" s="1980"/>
      <c r="CV813" s="1980"/>
      <c r="CW813" s="1980"/>
      <c r="CX813" s="1980"/>
      <c r="CY813" s="1980"/>
      <c r="CZ813" s="1980"/>
      <c r="DA813" s="1980"/>
      <c r="DB813" s="1980"/>
      <c r="DC813" s="1980"/>
      <c r="DD813" s="1980"/>
      <c r="DE813" s="1980"/>
      <c r="DF813" s="1980"/>
      <c r="DG813" s="1980"/>
      <c r="DH813" s="1980"/>
      <c r="DI813" s="1980"/>
      <c r="DJ813" s="1980"/>
      <c r="DK813" s="1980"/>
      <c r="DL813" s="1980"/>
      <c r="DM813" s="1980"/>
      <c r="DN813" s="1980"/>
      <c r="DO813" s="1980"/>
      <c r="DP813" s="1980"/>
      <c r="DQ813" s="1980"/>
      <c r="DR813" s="1980"/>
      <c r="DS813" s="1980"/>
      <c r="DT813" s="1980"/>
      <c r="DU813" s="1980"/>
      <c r="DV813" s="1980"/>
      <c r="DW813" s="1980"/>
      <c r="DX813" s="1980"/>
      <c r="DY813" s="1980"/>
      <c r="DZ813" s="1980"/>
      <c r="EA813" s="1980"/>
      <c r="EB813" s="1980"/>
      <c r="EC813" s="1980"/>
      <c r="ED813" s="1980"/>
      <c r="EE813" s="1980"/>
      <c r="EF813" s="1980"/>
      <c r="EG813" s="1980"/>
      <c r="EH813" s="1980"/>
      <c r="EI813" s="1980"/>
      <c r="EJ813" s="1980"/>
      <c r="EK813" s="1980"/>
      <c r="EL813" s="1980"/>
      <c r="EM813" s="1980"/>
      <c r="EN813" s="1980"/>
      <c r="EO813" s="1980"/>
      <c r="EP813" s="1980"/>
      <c r="EQ813" s="1980"/>
      <c r="ER813" s="1980"/>
      <c r="ES813" s="1980"/>
      <c r="ET813" s="1980"/>
      <c r="EU813" s="1980"/>
      <c r="EV813" s="1980"/>
      <c r="EW813" s="1980"/>
      <c r="EX813" s="1980"/>
      <c r="EY813" s="1980"/>
      <c r="EZ813" s="1980"/>
      <c r="FA813" s="1980"/>
      <c r="FB813" s="1980"/>
      <c r="FC813" s="1980"/>
      <c r="FD813" s="1980"/>
      <c r="FE813" s="1980"/>
      <c r="FF813" s="1980"/>
      <c r="FG813" s="1980"/>
      <c r="FH813" s="1980"/>
      <c r="FI813" s="1980"/>
      <c r="FJ813" s="1980"/>
      <c r="FK813" s="1980"/>
      <c r="FL813" s="1980"/>
      <c r="FM813" s="1980"/>
      <c r="FN813" s="1980"/>
      <c r="FO813" s="1980"/>
      <c r="FP813" s="1980"/>
      <c r="FQ813" s="1980"/>
      <c r="FR813" s="1980"/>
      <c r="FS813" s="1980"/>
      <c r="FT813" s="1980"/>
      <c r="FU813" s="1980"/>
      <c r="FV813" s="1980"/>
      <c r="FW813" s="1980"/>
      <c r="FX813" s="1980"/>
      <c r="FY813" s="1980"/>
      <c r="FZ813" s="1980"/>
      <c r="GA813" s="1980"/>
      <c r="GB813" s="1980"/>
      <c r="GC813" s="1980"/>
      <c r="GD813" s="1980"/>
      <c r="GE813" s="1980"/>
      <c r="GF813" s="1980"/>
      <c r="GG813" s="1980"/>
      <c r="GH813" s="1980"/>
      <c r="GI813" s="1980"/>
      <c r="GJ813" s="1980"/>
      <c r="GK813" s="1980"/>
      <c r="GL813" s="1980"/>
      <c r="GM813" s="1980"/>
      <c r="GN813" s="1980"/>
      <c r="GO813" s="1980"/>
      <c r="GP813" s="1980"/>
      <c r="GQ813" s="1980"/>
      <c r="GR813" s="1980"/>
      <c r="GS813" s="1980"/>
      <c r="GT813" s="1980"/>
      <c r="GU813" s="1980"/>
      <c r="GV813" s="1980"/>
      <c r="GW813" s="1980"/>
      <c r="GX813" s="1980"/>
      <c r="GY813" s="1980"/>
      <c r="GZ813" s="1980"/>
      <c r="HA813" s="1980"/>
      <c r="HB813" s="1980"/>
      <c r="HC813" s="1980"/>
      <c r="HD813" s="1980"/>
      <c r="HE813" s="1980"/>
      <c r="HF813" s="1980"/>
      <c r="HG813" s="1980"/>
      <c r="HH813" s="1980"/>
      <c r="HI813" s="1980"/>
      <c r="HJ813" s="1980"/>
      <c r="HK813" s="1980"/>
      <c r="HL813" s="1980"/>
      <c r="HM813" s="1980"/>
      <c r="HN813" s="1980"/>
      <c r="HO813" s="1980"/>
      <c r="HP813" s="1980"/>
      <c r="HQ813" s="1980"/>
      <c r="HR813" s="1980"/>
      <c r="HS813" s="1980"/>
      <c r="HT813" s="1980"/>
      <c r="HU813" s="1980"/>
      <c r="HV813" s="1980"/>
      <c r="HW813" s="1980"/>
      <c r="HX813" s="1980"/>
      <c r="HY813" s="1980"/>
      <c r="HZ813" s="1980"/>
      <c r="IA813" s="1980"/>
      <c r="IB813" s="1980"/>
      <c r="IC813" s="1980"/>
      <c r="ID813" s="1980"/>
      <c r="IE813" s="1980"/>
      <c r="IF813" s="1980"/>
      <c r="IG813" s="1980"/>
      <c r="IH813" s="1980"/>
      <c r="II813" s="1980"/>
      <c r="IJ813" s="1980"/>
      <c r="IK813" s="1980"/>
      <c r="IL813" s="1980"/>
      <c r="IM813" s="1980"/>
      <c r="IN813" s="1980"/>
      <c r="IO813" s="1980"/>
      <c r="IP813" s="1980"/>
      <c r="IQ813" s="1980"/>
      <c r="IR813" s="1980"/>
      <c r="IS813" s="1980"/>
      <c r="IT813" s="1980"/>
      <c r="IU813" s="1980"/>
      <c r="IV813" s="1980"/>
      <c r="IW813" s="1980"/>
      <c r="IX813" s="1980"/>
      <c r="IY813" s="1980"/>
      <c r="IZ813" s="1980"/>
      <c r="JA813" s="1980"/>
      <c r="JB813" s="1980"/>
      <c r="JC813" s="1980"/>
      <c r="JD813" s="1980"/>
      <c r="JE813" s="1980"/>
      <c r="JF813" s="1980"/>
      <c r="JG813" s="1980"/>
      <c r="JH813" s="1980"/>
      <c r="JI813" s="1980"/>
      <c r="JJ813" s="1980"/>
      <c r="JK813" s="1980"/>
      <c r="JL813" s="1980"/>
      <c r="JM813" s="1980"/>
      <c r="JN813" s="1980"/>
      <c r="JO813" s="1980"/>
      <c r="JP813" s="1980"/>
      <c r="JQ813" s="1980"/>
      <c r="JR813" s="1980"/>
      <c r="JS813" s="1980"/>
      <c r="JT813" s="1980"/>
      <c r="JU813" s="1980"/>
      <c r="JV813" s="1980"/>
      <c r="JW813" s="1980"/>
      <c r="JX813" s="1980"/>
      <c r="JY813" s="1980"/>
      <c r="JZ813" s="1980"/>
      <c r="KA813" s="1980"/>
      <c r="KB813" s="1980"/>
      <c r="KC813" s="1980"/>
      <c r="KD813" s="1980"/>
      <c r="KE813" s="1980"/>
      <c r="KF813" s="1980"/>
      <c r="KG813" s="1980"/>
      <c r="KH813" s="1980"/>
      <c r="KI813" s="1980"/>
      <c r="KJ813" s="1980"/>
      <c r="KK813" s="1980"/>
      <c r="KL813" s="1980"/>
      <c r="KM813" s="1980"/>
      <c r="KN813" s="1980"/>
      <c r="KO813" s="1980"/>
      <c r="KP813" s="1980"/>
      <c r="KQ813" s="1980"/>
      <c r="KR813" s="1980"/>
      <c r="KS813" s="1980"/>
      <c r="KT813" s="1980"/>
      <c r="KU813" s="1980"/>
      <c r="KV813" s="1980"/>
      <c r="KW813" s="1980"/>
      <c r="KX813" s="1980"/>
      <c r="KY813" s="1980"/>
      <c r="KZ813" s="1980"/>
      <c r="LA813" s="1980"/>
      <c r="LB813" s="1980"/>
      <c r="LC813" s="1980"/>
      <c r="LD813" s="1980"/>
      <c r="LE813" s="1980"/>
      <c r="LF813" s="1980"/>
      <c r="LG813" s="1980"/>
      <c r="LH813" s="1980"/>
      <c r="LI813" s="1980"/>
      <c r="LJ813" s="1980"/>
      <c r="LK813" s="1980"/>
      <c r="LL813" s="1980"/>
      <c r="LM813" s="1980"/>
      <c r="LN813" s="1980"/>
      <c r="LO813" s="1980"/>
      <c r="LP813" s="1980"/>
      <c r="LQ813" s="1980"/>
      <c r="LR813" s="1980"/>
      <c r="LS813" s="1980"/>
      <c r="LT813" s="1980"/>
      <c r="LU813" s="1980"/>
      <c r="LV813" s="1980"/>
      <c r="LW813" s="1980"/>
      <c r="LX813" s="1980"/>
      <c r="LY813" s="1980"/>
      <c r="LZ813" s="1980"/>
      <c r="MA813" s="1980"/>
      <c r="MB813" s="1980"/>
      <c r="MC813" s="1980"/>
      <c r="MD813" s="1980"/>
    </row>
    <row r="814" spans="1:357">
      <c r="A814" s="1925"/>
      <c r="B814" s="1925"/>
      <c r="C814" s="1925"/>
      <c r="D814" s="1925"/>
      <c r="E814" s="1925"/>
      <c r="F814" s="1925"/>
      <c r="G814" s="1925"/>
      <c r="H814" s="1925"/>
      <c r="I814" s="1925"/>
      <c r="J814" s="1925"/>
      <c r="K814" s="1925"/>
      <c r="L814" s="1925"/>
      <c r="M814" s="1925"/>
      <c r="N814" s="1925"/>
      <c r="O814" s="1925"/>
      <c r="P814" s="1925"/>
      <c r="Q814" s="1989"/>
      <c r="R814" s="1311"/>
      <c r="S814" s="1311"/>
      <c r="T814" s="1311"/>
      <c r="U814" s="1311"/>
      <c r="V814" s="1980"/>
      <c r="W814" s="1980"/>
      <c r="X814" s="1980"/>
      <c r="Y814" s="1980"/>
      <c r="Z814" s="1980"/>
      <c r="AA814" s="1980"/>
      <c r="AB814" s="1980"/>
      <c r="AC814" s="1980"/>
      <c r="AD814" s="1980"/>
      <c r="AE814" s="1980"/>
      <c r="AF814" s="1980"/>
      <c r="AG814" s="1980"/>
      <c r="AH814" s="1980"/>
      <c r="AI814" s="1980"/>
      <c r="AJ814" s="1980"/>
      <c r="AK814" s="1980"/>
      <c r="AL814" s="1980"/>
      <c r="AM814" s="1980"/>
      <c r="AN814" s="1980"/>
      <c r="AO814" s="1980"/>
      <c r="AP814" s="1980"/>
      <c r="AQ814" s="1980"/>
      <c r="AR814" s="1980"/>
      <c r="AS814" s="1980"/>
      <c r="AT814" s="1980"/>
      <c r="AU814" s="1980"/>
      <c r="AV814" s="1980"/>
      <c r="AW814" s="1980"/>
      <c r="AX814" s="1980"/>
      <c r="AY814" s="1980"/>
      <c r="AZ814" s="1980"/>
      <c r="BA814" s="1980"/>
      <c r="BB814" s="1980"/>
      <c r="BC814" s="1980"/>
      <c r="BD814" s="1980"/>
      <c r="BE814" s="1980"/>
      <c r="BF814" s="1980"/>
      <c r="BG814" s="1980"/>
      <c r="BH814" s="1980"/>
      <c r="BI814" s="1980"/>
      <c r="BJ814" s="1980"/>
      <c r="BK814" s="1980"/>
      <c r="BL814" s="1980"/>
      <c r="BM814" s="1980"/>
      <c r="BN814" s="1980"/>
      <c r="BO814" s="1980"/>
      <c r="BP814" s="1980"/>
      <c r="BQ814" s="1980"/>
      <c r="BR814" s="1980"/>
      <c r="BS814" s="1980"/>
      <c r="BT814" s="1980"/>
      <c r="BU814" s="1980"/>
      <c r="BV814" s="1980"/>
      <c r="BW814" s="1980"/>
      <c r="BX814" s="1980"/>
      <c r="BY814" s="1980"/>
      <c r="BZ814" s="1980"/>
      <c r="CA814" s="1980"/>
      <c r="CB814" s="1980"/>
      <c r="CC814" s="1980"/>
      <c r="CD814" s="1980"/>
      <c r="CE814" s="1980"/>
      <c r="CF814" s="1980"/>
      <c r="CG814" s="1980"/>
      <c r="CH814" s="1980"/>
      <c r="CI814" s="1980"/>
      <c r="CJ814" s="1980"/>
      <c r="CK814" s="1980"/>
      <c r="CL814" s="1980"/>
      <c r="CM814" s="1980"/>
      <c r="CN814" s="1980"/>
      <c r="CO814" s="1980"/>
      <c r="CP814" s="1980"/>
      <c r="CQ814" s="1980"/>
      <c r="CR814" s="1980"/>
      <c r="CS814" s="1980"/>
      <c r="CT814" s="1980"/>
      <c r="CU814" s="1980"/>
      <c r="CV814" s="1980"/>
      <c r="CW814" s="1980"/>
      <c r="CX814" s="1980"/>
      <c r="CY814" s="1980"/>
      <c r="CZ814" s="1980"/>
      <c r="DA814" s="1980"/>
      <c r="DB814" s="1980"/>
      <c r="DC814" s="1980"/>
      <c r="DD814" s="1980"/>
      <c r="DE814" s="1980"/>
      <c r="DF814" s="1980"/>
      <c r="DG814" s="1980"/>
      <c r="DH814" s="1980"/>
      <c r="DI814" s="1980"/>
      <c r="DJ814" s="1980"/>
      <c r="DK814" s="1980"/>
      <c r="DL814" s="1980"/>
      <c r="DM814" s="1980"/>
      <c r="DN814" s="1980"/>
      <c r="DO814" s="1980"/>
      <c r="DP814" s="1980"/>
      <c r="DQ814" s="1980"/>
      <c r="DR814" s="1980"/>
      <c r="DS814" s="1980"/>
      <c r="DT814" s="1980"/>
      <c r="DU814" s="1980"/>
      <c r="DV814" s="1980"/>
      <c r="DW814" s="1980"/>
      <c r="DX814" s="1980"/>
      <c r="DY814" s="1980"/>
      <c r="DZ814" s="1980"/>
      <c r="EA814" s="1980"/>
      <c r="EB814" s="1980"/>
      <c r="EC814" s="1980"/>
      <c r="ED814" s="1980"/>
      <c r="EE814" s="1980"/>
      <c r="EF814" s="1980"/>
      <c r="EG814" s="1980"/>
      <c r="EH814" s="1980"/>
      <c r="EI814" s="1980"/>
      <c r="EJ814" s="1980"/>
      <c r="EK814" s="1980"/>
      <c r="EL814" s="1980"/>
      <c r="EM814" s="1980"/>
      <c r="EN814" s="1980"/>
      <c r="EO814" s="1980"/>
      <c r="EP814" s="1980"/>
      <c r="EQ814" s="1980"/>
      <c r="ER814" s="1980"/>
      <c r="ES814" s="1980"/>
      <c r="ET814" s="1980"/>
      <c r="EU814" s="1980"/>
      <c r="EV814" s="1980"/>
      <c r="EW814" s="1980"/>
      <c r="EX814" s="1980"/>
      <c r="EY814" s="1980"/>
      <c r="EZ814" s="1980"/>
      <c r="FA814" s="1980"/>
      <c r="FB814" s="1980"/>
      <c r="FC814" s="1980"/>
      <c r="FD814" s="1980"/>
      <c r="FE814" s="1980"/>
      <c r="FF814" s="1980"/>
      <c r="FG814" s="1980"/>
      <c r="FH814" s="1980"/>
      <c r="FI814" s="1980"/>
      <c r="FJ814" s="1980"/>
      <c r="FK814" s="1980"/>
      <c r="FL814" s="1980"/>
      <c r="FM814" s="1980"/>
      <c r="FN814" s="1980"/>
      <c r="FO814" s="1980"/>
      <c r="FP814" s="1980"/>
      <c r="FQ814" s="1980"/>
      <c r="FR814" s="1980"/>
      <c r="FS814" s="1980"/>
      <c r="FT814" s="1980"/>
      <c r="FU814" s="1980"/>
      <c r="FV814" s="1980"/>
      <c r="FW814" s="1980"/>
      <c r="FX814" s="1980"/>
      <c r="FY814" s="1980"/>
      <c r="FZ814" s="1980"/>
      <c r="GA814" s="1980"/>
      <c r="GB814" s="1980"/>
      <c r="GC814" s="1980"/>
      <c r="GD814" s="1980"/>
      <c r="GE814" s="1980"/>
      <c r="GF814" s="1980"/>
      <c r="GG814" s="1980"/>
      <c r="GH814" s="1980"/>
      <c r="GI814" s="1980"/>
      <c r="GJ814" s="1980"/>
      <c r="GK814" s="1980"/>
      <c r="GL814" s="1980"/>
      <c r="GM814" s="1980"/>
      <c r="GN814" s="1980"/>
      <c r="GO814" s="1980"/>
      <c r="GP814" s="1980"/>
      <c r="GQ814" s="1980"/>
      <c r="GR814" s="1980"/>
      <c r="GS814" s="1980"/>
      <c r="GT814" s="1980"/>
      <c r="GU814" s="1980"/>
      <c r="GV814" s="1980"/>
      <c r="GW814" s="1980"/>
      <c r="GX814" s="1980"/>
      <c r="GY814" s="1980"/>
      <c r="GZ814" s="1980"/>
      <c r="HA814" s="1980"/>
      <c r="HB814" s="1980"/>
      <c r="HC814" s="1980"/>
      <c r="HD814" s="1980"/>
      <c r="HE814" s="1980"/>
      <c r="HF814" s="1980"/>
      <c r="HG814" s="1980"/>
      <c r="HH814" s="1980"/>
      <c r="HI814" s="1980"/>
      <c r="HJ814" s="1980"/>
      <c r="HK814" s="1980"/>
      <c r="HL814" s="1980"/>
      <c r="HM814" s="1980"/>
      <c r="HN814" s="1980"/>
      <c r="HO814" s="1980"/>
      <c r="HP814" s="1980"/>
      <c r="HQ814" s="1980"/>
      <c r="HR814" s="1980"/>
      <c r="HS814" s="1980"/>
      <c r="HT814" s="1980"/>
      <c r="HU814" s="1980"/>
      <c r="HV814" s="1980"/>
      <c r="HW814" s="1980"/>
      <c r="HX814" s="1980"/>
      <c r="HY814" s="1980"/>
      <c r="HZ814" s="1980"/>
      <c r="IA814" s="1980"/>
      <c r="IB814" s="1980"/>
      <c r="IC814" s="1980"/>
      <c r="ID814" s="1980"/>
      <c r="IE814" s="1980"/>
      <c r="IF814" s="1980"/>
      <c r="IG814" s="1980"/>
      <c r="IH814" s="1980"/>
      <c r="II814" s="1980"/>
      <c r="IJ814" s="1980"/>
      <c r="IK814" s="1980"/>
      <c r="IL814" s="1980"/>
      <c r="IM814" s="1980"/>
      <c r="IN814" s="1980"/>
      <c r="IO814" s="1980"/>
      <c r="IP814" s="1980"/>
      <c r="IQ814" s="1980"/>
      <c r="IR814" s="1980"/>
      <c r="IS814" s="1980"/>
      <c r="IT814" s="1980"/>
      <c r="IU814" s="1980"/>
      <c r="IV814" s="1980"/>
      <c r="IW814" s="1980"/>
      <c r="IX814" s="1980"/>
      <c r="IY814" s="1980"/>
      <c r="IZ814" s="1980"/>
      <c r="JA814" s="1980"/>
      <c r="JB814" s="1980"/>
      <c r="JC814" s="1980"/>
      <c r="JD814" s="1980"/>
      <c r="JE814" s="1980"/>
      <c r="JF814" s="1980"/>
      <c r="JG814" s="1980"/>
      <c r="JH814" s="1980"/>
      <c r="JI814" s="1980"/>
      <c r="JJ814" s="1980"/>
      <c r="JK814" s="1980"/>
      <c r="JL814" s="1980"/>
      <c r="JM814" s="1980"/>
      <c r="JN814" s="1980"/>
      <c r="JO814" s="1980"/>
      <c r="JP814" s="1980"/>
      <c r="JQ814" s="1980"/>
      <c r="JR814" s="1980"/>
      <c r="JS814" s="1980"/>
      <c r="JT814" s="1980"/>
      <c r="JU814" s="1980"/>
      <c r="JV814" s="1980"/>
      <c r="JW814" s="1980"/>
      <c r="JX814" s="1980"/>
      <c r="JY814" s="1980"/>
      <c r="JZ814" s="1980"/>
      <c r="KA814" s="1980"/>
      <c r="KB814" s="1980"/>
      <c r="KC814" s="1980"/>
      <c r="KD814" s="1980"/>
      <c r="KE814" s="1980"/>
      <c r="KF814" s="1980"/>
      <c r="KG814" s="1980"/>
      <c r="KH814" s="1980"/>
      <c r="KI814" s="1980"/>
      <c r="KJ814" s="1980"/>
      <c r="KK814" s="1980"/>
      <c r="KL814" s="1980"/>
      <c r="KM814" s="1980"/>
      <c r="KN814" s="1980"/>
      <c r="KO814" s="1980"/>
      <c r="KP814" s="1980"/>
      <c r="KQ814" s="1980"/>
      <c r="KR814" s="1980"/>
      <c r="KS814" s="1980"/>
      <c r="KT814" s="1980"/>
      <c r="KU814" s="1980"/>
      <c r="KV814" s="1980"/>
      <c r="KW814" s="1980"/>
      <c r="KX814" s="1980"/>
      <c r="KY814" s="1980"/>
      <c r="KZ814" s="1980"/>
      <c r="LA814" s="1980"/>
      <c r="LB814" s="1980"/>
      <c r="LC814" s="1980"/>
      <c r="LD814" s="1980"/>
      <c r="LE814" s="1980"/>
      <c r="LF814" s="1980"/>
      <c r="LG814" s="1980"/>
      <c r="LH814" s="1980"/>
      <c r="LI814" s="1980"/>
      <c r="LJ814" s="1980"/>
      <c r="LK814" s="1980"/>
      <c r="LL814" s="1980"/>
      <c r="LM814" s="1980"/>
      <c r="LN814" s="1980"/>
      <c r="LO814" s="1980"/>
      <c r="LP814" s="1980"/>
      <c r="LQ814" s="1980"/>
      <c r="LR814" s="1980"/>
      <c r="LS814" s="1980"/>
      <c r="LT814" s="1980"/>
      <c r="LU814" s="1980"/>
      <c r="LV814" s="1980"/>
      <c r="LW814" s="1980"/>
      <c r="LX814" s="1980"/>
      <c r="LY814" s="1980"/>
      <c r="LZ814" s="1980"/>
      <c r="MA814" s="1980"/>
      <c r="MB814" s="1980"/>
      <c r="MC814" s="1980"/>
      <c r="MD814" s="1980"/>
    </row>
    <row r="815" spans="1:357">
      <c r="A815" s="638" t="s">
        <v>729</v>
      </c>
      <c r="B815" s="638" t="s">
        <v>526</v>
      </c>
      <c r="K815" s="1990" t="str">
        <f>'Part I-Project Information'!$K$94</f>
        <v>40% of Units at 60% of AMI</v>
      </c>
      <c r="L815" s="1990"/>
      <c r="M815" s="1990"/>
      <c r="N815" s="1990"/>
      <c r="R815" s="1311" t="str">
        <f>B815</f>
        <v>UNIT SUMMARY</v>
      </c>
      <c r="S815" s="1311"/>
      <c r="T815" s="1311"/>
      <c r="U815" s="1311"/>
      <c r="AX815" s="1311"/>
      <c r="BC815" s="1311"/>
      <c r="JV815" s="1953"/>
      <c r="KA815" s="1953"/>
      <c r="KB815" s="1953"/>
      <c r="KC815" s="1953"/>
      <c r="KD815" s="1953"/>
      <c r="KE815" s="1953"/>
      <c r="KF815" s="1953"/>
      <c r="KG815" s="1953"/>
      <c r="KH815" s="1953"/>
      <c r="KI815" s="1953"/>
      <c r="KJ815" s="1953"/>
      <c r="KK815" s="1953"/>
      <c r="KL815" s="1953"/>
      <c r="KM815" s="1953"/>
      <c r="KN815" s="1953"/>
      <c r="KO815" s="1953"/>
      <c r="KP815" s="1953"/>
      <c r="KQ815" s="1953"/>
      <c r="KR815" s="1953"/>
      <c r="KS815" s="1953"/>
      <c r="KT815" s="1953"/>
      <c r="KU815" s="1953"/>
      <c r="KV815" s="1953"/>
      <c r="KW815" s="1953"/>
      <c r="KX815" s="1953"/>
      <c r="KY815" s="1953"/>
      <c r="KZ815" s="1953"/>
      <c r="LA815" s="1953"/>
      <c r="LB815" s="1953"/>
      <c r="LC815" s="1953"/>
      <c r="LD815" s="1953"/>
      <c r="LE815" s="1953"/>
      <c r="LF815" s="1953"/>
    </row>
    <row r="816" spans="1:357">
      <c r="T816" s="1991"/>
      <c r="AX816" s="1311"/>
      <c r="BC816" s="1311"/>
      <c r="JV816" s="1953"/>
      <c r="KA816" s="1953"/>
      <c r="KB816" s="1953"/>
      <c r="KC816" s="1953"/>
      <c r="KD816" s="1953"/>
      <c r="KE816" s="1953"/>
      <c r="KF816" s="1953"/>
      <c r="KG816" s="1953"/>
      <c r="KH816" s="1953"/>
      <c r="KI816" s="1953"/>
      <c r="KJ816" s="1953"/>
      <c r="KK816" s="1953"/>
      <c r="KL816" s="1953"/>
      <c r="KM816" s="1953"/>
      <c r="KN816" s="1953"/>
      <c r="KO816" s="1953"/>
      <c r="KP816" s="1953"/>
      <c r="KQ816" s="1953"/>
      <c r="KR816" s="1953"/>
      <c r="KS816" s="1953"/>
      <c r="KT816" s="1953"/>
      <c r="KU816" s="1953"/>
      <c r="KV816" s="1953"/>
      <c r="KW816" s="1953"/>
      <c r="KX816" s="1953"/>
      <c r="KY816" s="1953"/>
      <c r="KZ816" s="1953"/>
      <c r="LA816" s="1953"/>
      <c r="LB816" s="1953"/>
      <c r="LC816" s="1953"/>
      <c r="LD816" s="1953"/>
      <c r="LE816" s="1953"/>
      <c r="LF816" s="1953"/>
    </row>
    <row r="817" spans="1:318" ht="13.8">
      <c r="B817" s="638" t="s">
        <v>1123</v>
      </c>
      <c r="H817" s="638" t="s">
        <v>1027</v>
      </c>
      <c r="J817" s="1992" t="s">
        <v>558</v>
      </c>
      <c r="K817" s="1992" t="s">
        <v>527</v>
      </c>
      <c r="L817" s="1992" t="s">
        <v>528</v>
      </c>
      <c r="M817" s="1992" t="s">
        <v>529</v>
      </c>
      <c r="N817" s="1992" t="s">
        <v>530</v>
      </c>
      <c r="O817" s="1992" t="s">
        <v>531</v>
      </c>
      <c r="R817" s="1860" t="s">
        <v>1820</v>
      </c>
      <c r="S817" s="1860"/>
      <c r="T817" s="1991"/>
      <c r="AQ817" s="1992"/>
      <c r="AR817" s="1992"/>
      <c r="AS817" s="1992"/>
      <c r="AT817" s="1992"/>
      <c r="AU817" s="1992"/>
      <c r="AV817" s="1992"/>
      <c r="AX817" s="1311"/>
      <c r="BA817" s="1992"/>
      <c r="BC817" s="1311"/>
      <c r="JV817" s="1953"/>
      <c r="KA817" s="1953"/>
      <c r="KB817" s="1953"/>
      <c r="KC817" s="1953"/>
      <c r="KD817" s="1953"/>
      <c r="KE817" s="1953"/>
      <c r="KF817" s="1953"/>
      <c r="KG817" s="1953"/>
      <c r="KH817" s="1953"/>
      <c r="KI817" s="1953"/>
      <c r="KJ817" s="1953"/>
      <c r="KK817" s="1953"/>
      <c r="KL817" s="1953"/>
      <c r="KM817" s="1953"/>
      <c r="KN817" s="1953"/>
      <c r="KO817" s="1953"/>
      <c r="KP817" s="1953"/>
      <c r="KQ817" s="1953"/>
      <c r="KR817" s="1953"/>
      <c r="KS817" s="1953"/>
      <c r="KT817" s="1953"/>
      <c r="KU817" s="1953"/>
      <c r="KV817" s="1953"/>
      <c r="KW817" s="1953"/>
      <c r="KX817" s="1953"/>
      <c r="KY817" s="1953"/>
      <c r="KZ817" s="1953"/>
      <c r="LA817" s="1953"/>
      <c r="LB817" s="1953"/>
      <c r="LC817" s="1953"/>
      <c r="LD817" s="1953"/>
      <c r="LE817" s="1953"/>
      <c r="LF817" s="1953"/>
    </row>
    <row r="818" spans="1:318" ht="12.75" customHeight="1">
      <c r="A818" s="1202" t="s">
        <v>438</v>
      </c>
      <c r="B818" s="1202"/>
      <c r="C818" s="1311" t="s">
        <v>1124</v>
      </c>
      <c r="D818" s="1311"/>
      <c r="E818" s="1311"/>
      <c r="F818" s="1311"/>
      <c r="H818" s="457" t="s">
        <v>4287</v>
      </c>
      <c r="J818" s="1993">
        <f>W810</f>
        <v>0</v>
      </c>
      <c r="K818" s="1993">
        <f>X810</f>
        <v>0</v>
      </c>
      <c r="L818" s="1993">
        <f>Y810</f>
        <v>0</v>
      </c>
      <c r="M818" s="1993">
        <f>Z810</f>
        <v>0</v>
      </c>
      <c r="N818" s="1993">
        <f>AA810</f>
        <v>0</v>
      </c>
      <c r="O818" s="1993">
        <f t="shared" ref="O818:O829" si="343">SUM(J818:N818)</f>
        <v>0</v>
      </c>
      <c r="P818" s="1925" t="s">
        <v>3570</v>
      </c>
      <c r="Q818" s="1994"/>
      <c r="R818" s="1979">
        <f>'Part VI-Revenues &amp; Expenses'!R56</f>
        <v>0</v>
      </c>
      <c r="S818" s="1979"/>
      <c r="T818" s="1979"/>
      <c r="U818" s="1979"/>
      <c r="V818" s="1979"/>
      <c r="W818" s="1311"/>
      <c r="Z818" s="1311"/>
      <c r="AA818" s="457"/>
      <c r="AB818" s="1311"/>
      <c r="AE818" s="1311"/>
      <c r="AF818" s="457"/>
      <c r="AG818" s="1311"/>
      <c r="AJ818" s="1311"/>
      <c r="AK818" s="457"/>
      <c r="AL818" s="1311"/>
      <c r="AO818" s="1311"/>
      <c r="AP818" s="457"/>
      <c r="AQ818" s="458"/>
      <c r="AR818" s="458"/>
      <c r="AS818" s="458"/>
      <c r="AT818" s="458"/>
      <c r="AU818" s="458"/>
      <c r="AV818" s="458"/>
      <c r="AW818" s="457"/>
      <c r="AX818" s="1311"/>
      <c r="BA818" s="458"/>
      <c r="BB818" s="457"/>
      <c r="BC818" s="1311"/>
      <c r="JV818" s="1953"/>
      <c r="KA818" s="1953"/>
      <c r="KB818" s="1953"/>
      <c r="KC818" s="1953"/>
      <c r="KD818" s="1953"/>
      <c r="KE818" s="1953"/>
      <c r="KF818" s="1953"/>
      <c r="KG818" s="1953"/>
      <c r="KH818" s="1953"/>
      <c r="KI818" s="1953"/>
      <c r="KJ818" s="1953"/>
      <c r="KK818" s="1953"/>
      <c r="KL818" s="1953"/>
      <c r="KM818" s="1953"/>
      <c r="KN818" s="1953"/>
      <c r="KO818" s="1953"/>
      <c r="KP818" s="1953"/>
      <c r="KQ818" s="1953"/>
      <c r="KR818" s="1953"/>
      <c r="KS818" s="1953"/>
      <c r="KT818" s="1953"/>
      <c r="KU818" s="1953"/>
      <c r="KV818" s="1953"/>
      <c r="KW818" s="1953"/>
      <c r="KX818" s="1953"/>
      <c r="KY818" s="1953"/>
      <c r="KZ818" s="1953"/>
      <c r="LA818" s="1953"/>
      <c r="LB818" s="1953"/>
      <c r="LC818" s="1953"/>
      <c r="LD818" s="1953"/>
      <c r="LE818" s="1953"/>
      <c r="LF818" s="1953"/>
    </row>
    <row r="819" spans="1:318">
      <c r="A819" s="1202"/>
      <c r="B819" s="1202"/>
      <c r="C819" s="1311"/>
      <c r="D819" s="1311"/>
      <c r="E819" s="1311"/>
      <c r="F819" s="1311"/>
      <c r="H819" s="457" t="s">
        <v>4288</v>
      </c>
      <c r="J819" s="1993">
        <f>AB810</f>
        <v>0</v>
      </c>
      <c r="K819" s="1993">
        <f>AC810</f>
        <v>0</v>
      </c>
      <c r="L819" s="1993">
        <f>AD810</f>
        <v>0</v>
      </c>
      <c r="M819" s="1993">
        <f>AE810</f>
        <v>0</v>
      </c>
      <c r="N819" s="1993">
        <f>AF810</f>
        <v>0</v>
      </c>
      <c r="O819" s="1993">
        <f t="shared" si="343"/>
        <v>0</v>
      </c>
      <c r="P819" s="1925"/>
      <c r="Q819" s="1994"/>
      <c r="R819" s="1979">
        <f>'Part VI-Revenues &amp; Expenses'!R57</f>
        <v>0</v>
      </c>
      <c r="S819" s="1979"/>
      <c r="T819" s="1979"/>
      <c r="U819" s="1979"/>
      <c r="V819" s="1979"/>
      <c r="W819" s="1311"/>
      <c r="Z819" s="1311"/>
      <c r="AA819" s="457"/>
      <c r="AB819" s="1311"/>
      <c r="AE819" s="1311"/>
      <c r="AF819" s="457"/>
      <c r="AG819" s="1311"/>
      <c r="AJ819" s="1311"/>
      <c r="AK819" s="457"/>
      <c r="AL819" s="1311"/>
      <c r="AO819" s="1311"/>
      <c r="AP819" s="457"/>
      <c r="AQ819" s="458"/>
      <c r="AR819" s="458"/>
      <c r="AS819" s="458"/>
      <c r="AT819" s="458"/>
      <c r="AU819" s="458"/>
      <c r="AV819" s="458"/>
      <c r="AW819" s="457"/>
      <c r="AX819" s="1311"/>
      <c r="BA819" s="458"/>
      <c r="BB819" s="457"/>
      <c r="BC819" s="1311"/>
      <c r="JV819" s="1953"/>
      <c r="KA819" s="1953"/>
      <c r="KB819" s="1953"/>
      <c r="KC819" s="1953"/>
      <c r="KD819" s="1953"/>
      <c r="KE819" s="1953"/>
      <c r="KF819" s="1953"/>
      <c r="KG819" s="1953"/>
      <c r="KH819" s="1953"/>
      <c r="KI819" s="1953"/>
      <c r="KJ819" s="1953"/>
      <c r="KK819" s="1953"/>
      <c r="KL819" s="1953"/>
      <c r="KM819" s="1953"/>
      <c r="KN819" s="1953"/>
      <c r="KO819" s="1953"/>
      <c r="KP819" s="1953"/>
      <c r="KQ819" s="1953"/>
      <c r="KR819" s="1953"/>
      <c r="KS819" s="1953"/>
      <c r="KT819" s="1953"/>
      <c r="KU819" s="1953"/>
      <c r="KV819" s="1953"/>
      <c r="KW819" s="1953"/>
      <c r="KX819" s="1953"/>
      <c r="KY819" s="1953"/>
      <c r="KZ819" s="1953"/>
      <c r="LA819" s="1953"/>
      <c r="LB819" s="1953"/>
      <c r="LC819" s="1953"/>
      <c r="LD819" s="1953"/>
      <c r="LE819" s="1953"/>
      <c r="LF819" s="1953"/>
    </row>
    <row r="820" spans="1:318">
      <c r="A820" s="1202"/>
      <c r="B820" s="1202"/>
      <c r="C820" s="1311"/>
      <c r="D820" s="1311"/>
      <c r="E820" s="1311"/>
      <c r="F820" s="1311"/>
      <c r="H820" s="457" t="s">
        <v>1136</v>
      </c>
      <c r="J820" s="1993">
        <f>AG810</f>
        <v>0</v>
      </c>
      <c r="K820" s="1993">
        <f>AH810</f>
        <v>21</v>
      </c>
      <c r="L820" s="1993">
        <f>AI810</f>
        <v>27</v>
      </c>
      <c r="M820" s="1993">
        <f>AJ810</f>
        <v>6</v>
      </c>
      <c r="N820" s="1993">
        <f>AK810</f>
        <v>0</v>
      </c>
      <c r="O820" s="1993">
        <f t="shared" si="343"/>
        <v>54</v>
      </c>
      <c r="P820" s="1925"/>
      <c r="Q820" s="1994"/>
      <c r="R820" s="1979">
        <f>'Part VI-Revenues &amp; Expenses'!R58</f>
        <v>0</v>
      </c>
      <c r="S820" s="1979"/>
      <c r="T820" s="1979"/>
      <c r="U820" s="1979"/>
      <c r="V820" s="1979"/>
      <c r="W820" s="1311"/>
      <c r="Z820" s="1311"/>
      <c r="AA820" s="457"/>
      <c r="AB820" s="1311"/>
      <c r="AE820" s="1311"/>
      <c r="AF820" s="457"/>
      <c r="AG820" s="1311"/>
      <c r="AJ820" s="1311"/>
      <c r="AK820" s="457"/>
      <c r="AL820" s="1311"/>
      <c r="AO820" s="1311"/>
      <c r="AP820" s="457"/>
      <c r="AQ820" s="458"/>
      <c r="AR820" s="458"/>
      <c r="AS820" s="458"/>
      <c r="AT820" s="458"/>
      <c r="AU820" s="458"/>
      <c r="AV820" s="458"/>
      <c r="AW820" s="457"/>
      <c r="AX820" s="1311"/>
      <c r="BA820" s="458"/>
      <c r="BB820" s="457"/>
      <c r="BC820" s="1311"/>
      <c r="JV820" s="1953"/>
      <c r="KA820" s="1953"/>
      <c r="KB820" s="1953"/>
      <c r="KC820" s="1953"/>
      <c r="KD820" s="1953"/>
      <c r="KE820" s="1953"/>
      <c r="KF820" s="1953"/>
      <c r="KG820" s="1953"/>
      <c r="KH820" s="1953"/>
      <c r="KI820" s="1953"/>
      <c r="KJ820" s="1953"/>
      <c r="KK820" s="1953"/>
      <c r="KL820" s="1953"/>
      <c r="KM820" s="1953"/>
      <c r="KN820" s="1953"/>
      <c r="KO820" s="1953"/>
      <c r="KP820" s="1953"/>
      <c r="KQ820" s="1953"/>
      <c r="KR820" s="1953"/>
      <c r="KS820" s="1953"/>
      <c r="KT820" s="1953"/>
      <c r="KU820" s="1953"/>
      <c r="KV820" s="1953"/>
      <c r="KW820" s="1953"/>
      <c r="KX820" s="1953"/>
      <c r="KY820" s="1953"/>
      <c r="KZ820" s="1953"/>
      <c r="LA820" s="1953"/>
      <c r="LB820" s="1953"/>
      <c r="LC820" s="1953"/>
      <c r="LD820" s="1953"/>
      <c r="LE820" s="1953"/>
      <c r="LF820" s="1953"/>
    </row>
    <row r="821" spans="1:318">
      <c r="A821" s="1202"/>
      <c r="B821" s="1202"/>
      <c r="C821" s="1311"/>
      <c r="D821" s="1311"/>
      <c r="E821" s="1311"/>
      <c r="F821" s="1311"/>
      <c r="H821" s="457" t="s">
        <v>116</v>
      </c>
      <c r="J821" s="1993">
        <f>AL810</f>
        <v>0</v>
      </c>
      <c r="K821" s="1993">
        <f>AM810</f>
        <v>7</v>
      </c>
      <c r="L821" s="1993">
        <f>AN810</f>
        <v>8</v>
      </c>
      <c r="M821" s="1993">
        <f>AO810</f>
        <v>2</v>
      </c>
      <c r="N821" s="1993">
        <f>AP810</f>
        <v>0</v>
      </c>
      <c r="O821" s="1993">
        <f t="shared" si="343"/>
        <v>17</v>
      </c>
      <c r="P821" s="1925"/>
      <c r="Q821" s="1994"/>
      <c r="R821" s="1979">
        <f>'Part VI-Revenues &amp; Expenses'!R59</f>
        <v>0</v>
      </c>
      <c r="S821" s="1979"/>
      <c r="T821" s="1979"/>
      <c r="U821" s="1979"/>
      <c r="V821" s="1979"/>
      <c r="W821" s="1311"/>
      <c r="Z821" s="1311"/>
      <c r="AA821" s="457"/>
      <c r="AB821" s="1311"/>
      <c r="AE821" s="1311"/>
      <c r="AF821" s="457"/>
      <c r="AG821" s="1311"/>
      <c r="AJ821" s="1311"/>
      <c r="AK821" s="457"/>
      <c r="AL821" s="1311"/>
      <c r="AO821" s="1311"/>
      <c r="AP821" s="457"/>
      <c r="AQ821" s="458"/>
      <c r="AR821" s="458"/>
      <c r="AS821" s="458"/>
      <c r="AT821" s="458"/>
      <c r="AU821" s="458"/>
      <c r="AV821" s="458"/>
      <c r="AW821" s="457"/>
      <c r="AX821" s="1311"/>
      <c r="BA821" s="458"/>
      <c r="BB821" s="457"/>
      <c r="BC821" s="1311"/>
      <c r="JV821" s="1953"/>
      <c r="KA821" s="1953"/>
      <c r="KB821" s="1953"/>
      <c r="KC821" s="1953"/>
      <c r="KD821" s="1953"/>
      <c r="KE821" s="1953"/>
      <c r="KF821" s="1953"/>
      <c r="KG821" s="1953"/>
      <c r="KH821" s="1953"/>
      <c r="KI821" s="1953"/>
      <c r="KJ821" s="1953"/>
      <c r="KK821" s="1953"/>
      <c r="KL821" s="1953"/>
      <c r="KM821" s="1953"/>
      <c r="KN821" s="1953"/>
      <c r="KO821" s="1953"/>
      <c r="KP821" s="1953"/>
      <c r="KQ821" s="1953"/>
      <c r="KR821" s="1953"/>
      <c r="KS821" s="1953"/>
      <c r="KT821" s="1953"/>
      <c r="KU821" s="1953"/>
      <c r="KV821" s="1953"/>
      <c r="KW821" s="1953"/>
      <c r="KX821" s="1953"/>
      <c r="KY821" s="1953"/>
      <c r="KZ821" s="1953"/>
      <c r="LA821" s="1953"/>
      <c r="LB821" s="1953"/>
      <c r="LC821" s="1953"/>
      <c r="LD821" s="1953"/>
      <c r="LE821" s="1953"/>
      <c r="LF821" s="1953"/>
    </row>
    <row r="822" spans="1:318">
      <c r="A822" s="1202"/>
      <c r="B822" s="1202"/>
      <c r="C822" s="1311"/>
      <c r="D822" s="1311"/>
      <c r="E822" s="1311"/>
      <c r="F822" s="1311"/>
      <c r="H822" s="457" t="s">
        <v>4289</v>
      </c>
      <c r="J822" s="1993">
        <f>AQ810</f>
        <v>0</v>
      </c>
      <c r="K822" s="1993">
        <f>AR810</f>
        <v>0</v>
      </c>
      <c r="L822" s="1993">
        <f>AS810</f>
        <v>0</v>
      </c>
      <c r="M822" s="1993">
        <f>AT810</f>
        <v>0</v>
      </c>
      <c r="N822" s="1993">
        <f>AU810</f>
        <v>0</v>
      </c>
      <c r="O822" s="1993">
        <f t="shared" si="343"/>
        <v>0</v>
      </c>
      <c r="P822" s="1925"/>
      <c r="Q822" s="1994"/>
      <c r="R822" s="1979">
        <f>'Part VI-Revenues &amp; Expenses'!R60</f>
        <v>0</v>
      </c>
      <c r="S822" s="1979"/>
      <c r="T822" s="1979"/>
      <c r="U822" s="1979"/>
      <c r="V822" s="1979"/>
      <c r="W822" s="1311"/>
      <c r="Z822" s="1311"/>
      <c r="AA822" s="457"/>
      <c r="AB822" s="1311"/>
      <c r="AE822" s="1311"/>
      <c r="AF822" s="457"/>
      <c r="AG822" s="1311"/>
      <c r="AJ822" s="1311"/>
      <c r="AK822" s="457"/>
      <c r="AL822" s="1311"/>
      <c r="AO822" s="1311"/>
      <c r="AP822" s="457"/>
      <c r="AQ822" s="458"/>
      <c r="AR822" s="458"/>
      <c r="AS822" s="458"/>
      <c r="AT822" s="458"/>
      <c r="AU822" s="458"/>
      <c r="AV822" s="458"/>
      <c r="AW822" s="457"/>
      <c r="AX822" s="1311"/>
      <c r="BA822" s="458"/>
      <c r="BB822" s="457"/>
      <c r="BC822" s="1311"/>
      <c r="JV822" s="1953"/>
      <c r="KA822" s="1953"/>
      <c r="KB822" s="1953"/>
      <c r="KC822" s="1953"/>
      <c r="KD822" s="1953"/>
      <c r="KE822" s="1953"/>
      <c r="KF822" s="1953"/>
      <c r="KG822" s="1953"/>
      <c r="KH822" s="1953"/>
      <c r="KI822" s="1953"/>
      <c r="KJ822" s="1953"/>
      <c r="KK822" s="1953"/>
      <c r="KL822" s="1953"/>
      <c r="KM822" s="1953"/>
      <c r="KN822" s="1953"/>
      <c r="KO822" s="1953"/>
      <c r="KP822" s="1953"/>
      <c r="KQ822" s="1953"/>
      <c r="KR822" s="1953"/>
      <c r="KS822" s="1953"/>
      <c r="KT822" s="1953"/>
      <c r="KU822" s="1953"/>
      <c r="KV822" s="1953"/>
      <c r="KW822" s="1953"/>
      <c r="KX822" s="1953"/>
      <c r="KY822" s="1953"/>
      <c r="KZ822" s="1953"/>
      <c r="LA822" s="1953"/>
      <c r="LB822" s="1953"/>
      <c r="LC822" s="1953"/>
      <c r="LD822" s="1953"/>
      <c r="LE822" s="1953"/>
      <c r="LF822" s="1953"/>
    </row>
    <row r="823" spans="1:318">
      <c r="A823" s="1202"/>
      <c r="B823" s="1202"/>
      <c r="C823" s="1311"/>
      <c r="D823" s="1311"/>
      <c r="E823" s="1311"/>
      <c r="F823" s="1311"/>
      <c r="H823" s="457" t="s">
        <v>4290</v>
      </c>
      <c r="J823" s="1993">
        <f>AV810</f>
        <v>0</v>
      </c>
      <c r="K823" s="1993">
        <f>AW810</f>
        <v>0</v>
      </c>
      <c r="L823" s="1993">
        <f>AX810</f>
        <v>0</v>
      </c>
      <c r="M823" s="1993">
        <f>AY810</f>
        <v>0</v>
      </c>
      <c r="N823" s="1993">
        <f>AZ810</f>
        <v>0</v>
      </c>
      <c r="O823" s="1993">
        <f t="shared" si="343"/>
        <v>0</v>
      </c>
      <c r="P823" s="1925"/>
      <c r="Q823" s="1994"/>
      <c r="R823" s="1979">
        <f>'Part VI-Revenues &amp; Expenses'!R61</f>
        <v>0</v>
      </c>
      <c r="S823" s="1979"/>
      <c r="T823" s="1979"/>
      <c r="U823" s="1979"/>
      <c r="V823" s="1979"/>
      <c r="W823" s="1311"/>
      <c r="Z823" s="1311"/>
      <c r="AA823" s="457"/>
      <c r="AB823" s="1311"/>
      <c r="AE823" s="1311"/>
      <c r="AF823" s="457"/>
      <c r="AG823" s="1311"/>
      <c r="AJ823" s="1311"/>
      <c r="AK823" s="457"/>
      <c r="AL823" s="1311"/>
      <c r="AO823" s="1311"/>
      <c r="AP823" s="457"/>
      <c r="AQ823" s="458"/>
      <c r="AR823" s="458"/>
      <c r="AS823" s="458"/>
      <c r="AT823" s="458"/>
      <c r="AU823" s="458"/>
      <c r="AV823" s="458"/>
      <c r="AW823" s="457"/>
      <c r="AX823" s="1311"/>
      <c r="BA823" s="458"/>
      <c r="BB823" s="457"/>
      <c r="BC823" s="1311"/>
      <c r="JV823" s="1953"/>
      <c r="KA823" s="1953"/>
      <c r="KB823" s="1953"/>
      <c r="KC823" s="1953"/>
      <c r="KD823" s="1953"/>
      <c r="KE823" s="1953"/>
      <c r="KF823" s="1953"/>
      <c r="KG823" s="1953"/>
      <c r="KH823" s="1953"/>
      <c r="KI823" s="1953"/>
      <c r="KJ823" s="1953"/>
      <c r="KK823" s="1953"/>
      <c r="KL823" s="1953"/>
      <c r="KM823" s="1953"/>
      <c r="KN823" s="1953"/>
      <c r="KO823" s="1953"/>
      <c r="KP823" s="1953"/>
      <c r="KQ823" s="1953"/>
      <c r="KR823" s="1953"/>
      <c r="KS823" s="1953"/>
      <c r="KT823" s="1953"/>
      <c r="KU823" s="1953"/>
      <c r="KV823" s="1953"/>
      <c r="KW823" s="1953"/>
      <c r="KX823" s="1953"/>
      <c r="KY823" s="1953"/>
      <c r="KZ823" s="1953"/>
      <c r="LA823" s="1953"/>
      <c r="LB823" s="1953"/>
      <c r="LC823" s="1953"/>
      <c r="LD823" s="1953"/>
      <c r="LE823" s="1953"/>
      <c r="LF823" s="1953"/>
    </row>
    <row r="824" spans="1:318">
      <c r="A824" s="1202"/>
      <c r="B824" s="1202"/>
      <c r="C824" s="1311"/>
      <c r="D824" s="1311"/>
      <c r="E824" s="1311"/>
      <c r="F824" s="1311"/>
      <c r="H824" s="457" t="s">
        <v>4291</v>
      </c>
      <c r="J824" s="1993">
        <f>BA810</f>
        <v>0</v>
      </c>
      <c r="K824" s="1993">
        <f>BB810</f>
        <v>0</v>
      </c>
      <c r="L824" s="1993">
        <f>BC810</f>
        <v>0</v>
      </c>
      <c r="M824" s="1993">
        <f>BD810</f>
        <v>0</v>
      </c>
      <c r="N824" s="1993">
        <f>BE810</f>
        <v>0</v>
      </c>
      <c r="O824" s="1993">
        <f t="shared" si="343"/>
        <v>0</v>
      </c>
      <c r="P824" s="1925"/>
      <c r="Q824" s="1994"/>
      <c r="R824" s="1979">
        <f>'Part VI-Revenues &amp; Expenses'!R62</f>
        <v>0</v>
      </c>
      <c r="S824" s="1979"/>
      <c r="T824" s="1979"/>
      <c r="U824" s="1979"/>
      <c r="V824" s="1979"/>
      <c r="W824" s="1311"/>
      <c r="Z824" s="1311"/>
      <c r="AA824" s="457"/>
      <c r="AB824" s="1311"/>
      <c r="AE824" s="1311"/>
      <c r="AF824" s="457"/>
      <c r="AG824" s="1311"/>
      <c r="AJ824" s="1311"/>
      <c r="AK824" s="457"/>
      <c r="AL824" s="1311"/>
      <c r="AO824" s="1311"/>
      <c r="AP824" s="457"/>
      <c r="AQ824" s="458"/>
      <c r="AR824" s="458"/>
      <c r="AS824" s="458"/>
      <c r="AT824" s="458"/>
      <c r="AU824" s="458"/>
      <c r="AV824" s="458"/>
      <c r="AW824" s="457"/>
      <c r="AX824" s="1311"/>
      <c r="BA824" s="458"/>
      <c r="BB824" s="457"/>
      <c r="BC824" s="1311"/>
      <c r="JV824" s="1953"/>
      <c r="KA824" s="1953"/>
      <c r="KB824" s="1953"/>
      <c r="KC824" s="1953"/>
      <c r="KD824" s="1953"/>
      <c r="KE824" s="1953"/>
      <c r="KF824" s="1953"/>
      <c r="KG824" s="1953"/>
      <c r="KH824" s="1953"/>
      <c r="KI824" s="1953"/>
      <c r="KJ824" s="1953"/>
      <c r="KK824" s="1953"/>
      <c r="KL824" s="1953"/>
      <c r="KM824" s="1953"/>
      <c r="KN824" s="1953"/>
      <c r="KO824" s="1953"/>
      <c r="KP824" s="1953"/>
      <c r="KQ824" s="1953"/>
      <c r="KR824" s="1953"/>
      <c r="KS824" s="1953"/>
      <c r="KT824" s="1953"/>
      <c r="KU824" s="1953"/>
      <c r="KV824" s="1953"/>
      <c r="KW824" s="1953"/>
      <c r="KX824" s="1953"/>
      <c r="KY824" s="1953"/>
      <c r="KZ824" s="1953"/>
      <c r="LA824" s="1953"/>
      <c r="LB824" s="1953"/>
      <c r="LC824" s="1953"/>
      <c r="LD824" s="1953"/>
      <c r="LE824" s="1953"/>
      <c r="LF824" s="1953"/>
    </row>
    <row r="825" spans="1:318">
      <c r="A825" s="1202"/>
      <c r="B825" s="1202"/>
      <c r="C825" s="1957" t="s">
        <v>4373</v>
      </c>
      <c r="D825" s="1311"/>
      <c r="E825" s="1311"/>
      <c r="F825" s="1311"/>
      <c r="H825" s="1051"/>
      <c r="J825" s="1993">
        <f>SUM(J818:J824)</f>
        <v>0</v>
      </c>
      <c r="K825" s="1993">
        <f>SUM(K818:K824)</f>
        <v>28</v>
      </c>
      <c r="L825" s="1993">
        <f>SUM(L818:L824)</f>
        <v>35</v>
      </c>
      <c r="M825" s="1993">
        <f>SUM(M818:M824)</f>
        <v>8</v>
      </c>
      <c r="N825" s="1993">
        <f>SUM(N818:N824)</f>
        <v>0</v>
      </c>
      <c r="O825" s="1993">
        <f t="shared" si="343"/>
        <v>71</v>
      </c>
      <c r="P825" s="1925"/>
      <c r="R825" s="1979">
        <f>'Part VI-Revenues &amp; Expenses'!R63</f>
        <v>0</v>
      </c>
      <c r="S825" s="1979"/>
      <c r="T825" s="1979"/>
      <c r="U825" s="1979"/>
      <c r="V825" s="1979"/>
      <c r="W825" s="1311"/>
      <c r="Z825" s="1311"/>
      <c r="AA825" s="457"/>
      <c r="AB825" s="1311"/>
      <c r="AE825" s="1311"/>
      <c r="AF825" s="457"/>
      <c r="AG825" s="1311"/>
      <c r="AJ825" s="1311"/>
      <c r="AK825" s="457"/>
      <c r="AL825" s="1311"/>
      <c r="AO825" s="1311"/>
      <c r="AP825" s="457"/>
      <c r="AQ825" s="458"/>
      <c r="AR825" s="458"/>
      <c r="AS825" s="458"/>
      <c r="AT825" s="458"/>
      <c r="AU825" s="458"/>
      <c r="AV825" s="458"/>
      <c r="AW825" s="457"/>
      <c r="AX825" s="1311"/>
      <c r="BA825" s="458"/>
      <c r="BB825" s="457"/>
      <c r="BC825" s="1311"/>
      <c r="JV825" s="1953"/>
      <c r="KA825" s="1953"/>
      <c r="KB825" s="1953"/>
      <c r="KC825" s="1953"/>
      <c r="KD825" s="1953"/>
      <c r="KE825" s="1953"/>
      <c r="KF825" s="1953"/>
      <c r="KG825" s="1953"/>
      <c r="KH825" s="1953"/>
      <c r="KI825" s="1953"/>
      <c r="KJ825" s="1953"/>
      <c r="KK825" s="1953"/>
      <c r="KL825" s="1953"/>
      <c r="KM825" s="1953"/>
      <c r="KN825" s="1953"/>
      <c r="KO825" s="1953"/>
      <c r="KP825" s="1953"/>
      <c r="KQ825" s="1953"/>
      <c r="KR825" s="1953"/>
      <c r="KS825" s="1953"/>
      <c r="KT825" s="1953"/>
      <c r="KU825" s="1953"/>
      <c r="KV825" s="1953"/>
      <c r="KW825" s="1953"/>
      <c r="KX825" s="1953"/>
      <c r="KY825" s="1953"/>
      <c r="KZ825" s="1953"/>
      <c r="LA825" s="1953"/>
      <c r="LB825" s="1953"/>
      <c r="LC825" s="1953"/>
      <c r="LD825" s="1953"/>
      <c r="LE825" s="1953"/>
      <c r="LF825" s="1953"/>
    </row>
    <row r="826" spans="1:318">
      <c r="A826" s="1202"/>
      <c r="B826" s="1202"/>
      <c r="D826" s="1311"/>
      <c r="E826" s="1311"/>
      <c r="F826" s="1311"/>
      <c r="H826" s="457" t="s">
        <v>300</v>
      </c>
      <c r="J826" s="1993">
        <f>BF810</f>
        <v>0</v>
      </c>
      <c r="K826" s="1993">
        <f>BG810</f>
        <v>4</v>
      </c>
      <c r="L826" s="1993">
        <f>BH810</f>
        <v>7</v>
      </c>
      <c r="M826" s="1993">
        <f>BI810</f>
        <v>2</v>
      </c>
      <c r="N826" s="1993">
        <f>BJ810</f>
        <v>0</v>
      </c>
      <c r="O826" s="1993">
        <f t="shared" si="343"/>
        <v>13</v>
      </c>
      <c r="R826" s="1979">
        <f>'Part VI-Revenues &amp; Expenses'!R64</f>
        <v>0</v>
      </c>
      <c r="S826" s="1979"/>
      <c r="T826" s="1979"/>
      <c r="U826" s="1979"/>
      <c r="V826" s="1979"/>
      <c r="W826" s="1311"/>
      <c r="Z826" s="1311"/>
      <c r="AA826" s="457"/>
      <c r="AB826" s="1311"/>
      <c r="AE826" s="1311"/>
      <c r="AF826" s="457"/>
      <c r="AG826" s="1311"/>
      <c r="AJ826" s="1311"/>
      <c r="AK826" s="457"/>
      <c r="AL826" s="1311"/>
      <c r="AO826" s="1311"/>
      <c r="AP826" s="457"/>
      <c r="AQ826" s="458"/>
      <c r="AR826" s="458"/>
      <c r="AS826" s="458"/>
      <c r="AT826" s="458"/>
      <c r="AU826" s="458"/>
      <c r="AV826" s="458"/>
      <c r="AW826" s="1051"/>
      <c r="AX826" s="1311"/>
      <c r="BA826" s="458"/>
      <c r="BB826" s="1051"/>
      <c r="BC826" s="1311"/>
      <c r="JV826" s="1953"/>
      <c r="KA826" s="1953"/>
      <c r="KB826" s="1953"/>
      <c r="KC826" s="1953"/>
      <c r="KD826" s="1953"/>
      <c r="KE826" s="1953"/>
      <c r="KF826" s="1953"/>
      <c r="KG826" s="1953"/>
      <c r="KH826" s="1953"/>
      <c r="KI826" s="1953"/>
      <c r="KJ826" s="1953"/>
      <c r="KK826" s="1953"/>
      <c r="KL826" s="1953"/>
      <c r="KM826" s="1953"/>
      <c r="KN826" s="1953"/>
      <c r="KO826" s="1953"/>
      <c r="KP826" s="1953"/>
      <c r="KQ826" s="1953"/>
      <c r="KR826" s="1953"/>
      <c r="KS826" s="1953"/>
      <c r="KT826" s="1953"/>
      <c r="KU826" s="1953"/>
      <c r="KV826" s="1953"/>
      <c r="KW826" s="1953"/>
      <c r="KX826" s="1953"/>
      <c r="KY826" s="1953"/>
      <c r="KZ826" s="1953"/>
      <c r="LA826" s="1953"/>
      <c r="LB826" s="1953"/>
      <c r="LC826" s="1953"/>
      <c r="LD826" s="1953"/>
      <c r="LE826" s="1953"/>
      <c r="LF826" s="1953"/>
    </row>
    <row r="827" spans="1:318">
      <c r="A827" s="1202"/>
      <c r="B827" s="1202"/>
      <c r="C827" s="1995" t="s">
        <v>1125</v>
      </c>
      <c r="D827" s="1995"/>
      <c r="E827" s="1995"/>
      <c r="F827" s="1995"/>
      <c r="G827" s="1996"/>
      <c r="H827" s="1997"/>
      <c r="I827" s="1996"/>
      <c r="J827" s="1998">
        <f>SUM(J825:J826)</f>
        <v>0</v>
      </c>
      <c r="K827" s="1998">
        <f>SUM(K825:K826)</f>
        <v>32</v>
      </c>
      <c r="L827" s="1998">
        <f>SUM(L825:L826)</f>
        <v>42</v>
      </c>
      <c r="M827" s="1998">
        <f>SUM(M825:M826)</f>
        <v>10</v>
      </c>
      <c r="N827" s="1998">
        <f>SUM(N825:N826)</f>
        <v>0</v>
      </c>
      <c r="O827" s="1998">
        <f t="shared" si="343"/>
        <v>84</v>
      </c>
      <c r="R827" s="1979">
        <f>'Part VI-Revenues &amp; Expenses'!R65</f>
        <v>0</v>
      </c>
      <c r="S827" s="1979"/>
      <c r="T827" s="1979"/>
      <c r="U827" s="1979"/>
      <c r="V827" s="1979"/>
      <c r="W827" s="1311"/>
      <c r="Z827" s="1311"/>
      <c r="AA827" s="457"/>
      <c r="AB827" s="1311"/>
      <c r="AE827" s="1311"/>
      <c r="AF827" s="457"/>
      <c r="AG827" s="1311"/>
      <c r="AJ827" s="1311"/>
      <c r="AK827" s="457"/>
      <c r="AL827" s="1311"/>
      <c r="AO827" s="1311"/>
      <c r="AP827" s="457"/>
      <c r="AQ827" s="458"/>
      <c r="AR827" s="458"/>
      <c r="AS827" s="458"/>
      <c r="AT827" s="458"/>
      <c r="AU827" s="458"/>
      <c r="AV827" s="458"/>
      <c r="AW827" s="1051"/>
      <c r="AX827" s="1311"/>
      <c r="BA827" s="458"/>
      <c r="BB827" s="1051"/>
      <c r="BC827" s="1311"/>
      <c r="JV827" s="1953"/>
      <c r="KA827" s="1953"/>
      <c r="KB827" s="1953"/>
      <c r="KC827" s="1953"/>
      <c r="KD827" s="1953"/>
      <c r="KE827" s="1953"/>
      <c r="KF827" s="1953"/>
      <c r="KG827" s="1953"/>
      <c r="KH827" s="1953"/>
      <c r="KI827" s="1953"/>
      <c r="KJ827" s="1953"/>
      <c r="KK827" s="1953"/>
      <c r="KL827" s="1953"/>
      <c r="KM827" s="1953"/>
      <c r="KN827" s="1953"/>
      <c r="KO827" s="1953"/>
      <c r="KP827" s="1953"/>
      <c r="KQ827" s="1953"/>
      <c r="KR827" s="1953"/>
      <c r="KS827" s="1953"/>
      <c r="KT827" s="1953"/>
      <c r="KU827" s="1953"/>
      <c r="KV827" s="1953"/>
      <c r="KW827" s="1953"/>
      <c r="KX827" s="1953"/>
      <c r="KY827" s="1953"/>
      <c r="KZ827" s="1953"/>
      <c r="LA827" s="1953"/>
      <c r="LB827" s="1953"/>
      <c r="LC827" s="1953"/>
      <c r="LD827" s="1953"/>
      <c r="LE827" s="1953"/>
      <c r="LF827" s="1953"/>
    </row>
    <row r="828" spans="1:318">
      <c r="A828" s="1202"/>
      <c r="B828" s="1202"/>
      <c r="D828" s="1311"/>
      <c r="E828" s="1311"/>
      <c r="F828" s="1311"/>
      <c r="H828" s="457" t="s">
        <v>2478</v>
      </c>
      <c r="J828" s="1993">
        <f>EC810</f>
        <v>0</v>
      </c>
      <c r="K828" s="1993">
        <f>ED810</f>
        <v>0</v>
      </c>
      <c r="L828" s="1993">
        <f>EE810</f>
        <v>0</v>
      </c>
      <c r="M828" s="1993">
        <f>EF810</f>
        <v>0</v>
      </c>
      <c r="N828" s="1993">
        <f>EG810</f>
        <v>0</v>
      </c>
      <c r="O828" s="1993">
        <f t="shared" si="343"/>
        <v>0</v>
      </c>
      <c r="P828" s="1786" t="s">
        <v>3571</v>
      </c>
      <c r="R828" s="1979">
        <f>'Part VI-Revenues &amp; Expenses'!R66</f>
        <v>0</v>
      </c>
      <c r="S828" s="1979"/>
      <c r="T828" s="1979"/>
      <c r="U828" s="1979"/>
      <c r="V828" s="1979"/>
      <c r="W828" s="1311"/>
      <c r="Z828" s="1311"/>
      <c r="AA828" s="457"/>
      <c r="AB828" s="1311"/>
      <c r="AE828" s="1311"/>
      <c r="AF828" s="457"/>
      <c r="AG828" s="1311"/>
      <c r="AJ828" s="1311"/>
      <c r="AK828" s="457"/>
      <c r="AL828" s="1311"/>
      <c r="AO828" s="1311"/>
      <c r="AP828" s="457"/>
      <c r="AQ828" s="458"/>
      <c r="AR828" s="458"/>
      <c r="AS828" s="458"/>
      <c r="AT828" s="458"/>
      <c r="AU828" s="458"/>
      <c r="AV828" s="458"/>
      <c r="AW828" s="457"/>
      <c r="AX828" s="1311"/>
      <c r="BA828" s="458"/>
      <c r="BB828" s="457"/>
      <c r="BC828" s="1311"/>
      <c r="JV828" s="1953"/>
      <c r="KA828" s="1953"/>
      <c r="KB828" s="1953"/>
      <c r="KC828" s="1953"/>
      <c r="KD828" s="1953"/>
      <c r="KE828" s="1953"/>
      <c r="KF828" s="1953"/>
      <c r="KG828" s="1953"/>
      <c r="KH828" s="1953"/>
      <c r="KI828" s="1953"/>
      <c r="KJ828" s="1953"/>
      <c r="KK828" s="1953"/>
      <c r="KL828" s="1953"/>
      <c r="KM828" s="1953"/>
      <c r="KN828" s="1953"/>
      <c r="KO828" s="1953"/>
      <c r="KP828" s="1953"/>
      <c r="KQ828" s="1953"/>
      <c r="KR828" s="1953"/>
      <c r="KS828" s="1953"/>
      <c r="KT828" s="1953"/>
      <c r="KU828" s="1953"/>
      <c r="KV828" s="1953"/>
      <c r="KW828" s="1953"/>
      <c r="KX828" s="1953"/>
      <c r="KY828" s="1953"/>
      <c r="KZ828" s="1953"/>
      <c r="LA828" s="1953"/>
      <c r="LB828" s="1953"/>
      <c r="LC828" s="1953"/>
      <c r="LD828" s="1953"/>
      <c r="LE828" s="1953"/>
      <c r="LF828" s="1953"/>
    </row>
    <row r="829" spans="1:318">
      <c r="A829" s="1202"/>
      <c r="B829" s="1202"/>
      <c r="C829" s="1311" t="s">
        <v>1771</v>
      </c>
      <c r="D829" s="1311"/>
      <c r="E829" s="1311"/>
      <c r="F829" s="1311"/>
      <c r="H829" s="457"/>
      <c r="J829" s="1993">
        <f>SUM(J827:J828)</f>
        <v>0</v>
      </c>
      <c r="K829" s="1993">
        <f>SUM(K827:K828)</f>
        <v>32</v>
      </c>
      <c r="L829" s="1993">
        <f>SUM(L827:L828)</f>
        <v>42</v>
      </c>
      <c r="M829" s="1993">
        <f>SUM(M827:M828)</f>
        <v>10</v>
      </c>
      <c r="N829" s="1993">
        <f>SUM(N827:N828)</f>
        <v>0</v>
      </c>
      <c r="O829" s="1993">
        <f t="shared" si="343"/>
        <v>84</v>
      </c>
      <c r="R829" s="1979">
        <f>'Part VI-Revenues &amp; Expenses'!R67</f>
        <v>0</v>
      </c>
      <c r="S829" s="1979"/>
      <c r="T829" s="1979"/>
      <c r="U829" s="1979"/>
      <c r="V829" s="1979"/>
      <c r="W829" s="1311"/>
      <c r="Z829" s="1311"/>
      <c r="AA829" s="457"/>
      <c r="AB829" s="1311"/>
      <c r="AE829" s="1311"/>
      <c r="AF829" s="457"/>
      <c r="AG829" s="1311"/>
      <c r="AJ829" s="1311"/>
      <c r="AK829" s="457"/>
      <c r="AL829" s="1311"/>
      <c r="AO829" s="1311"/>
      <c r="AP829" s="457"/>
      <c r="AQ829" s="458"/>
      <c r="AR829" s="458"/>
      <c r="AS829" s="458"/>
      <c r="AT829" s="458"/>
      <c r="AU829" s="458"/>
      <c r="AV829" s="458"/>
      <c r="AX829" s="1311"/>
      <c r="BA829" s="458"/>
      <c r="BC829" s="1311"/>
      <c r="JV829" s="1953"/>
      <c r="KA829" s="1953"/>
      <c r="KB829" s="1953"/>
      <c r="KC829" s="1953"/>
      <c r="KD829" s="1953"/>
      <c r="KE829" s="1953"/>
      <c r="KF829" s="1953"/>
      <c r="KG829" s="1953"/>
      <c r="KH829" s="1953"/>
      <c r="KI829" s="1953"/>
      <c r="KJ829" s="1953"/>
      <c r="KK829" s="1953"/>
      <c r="KL829" s="1953"/>
      <c r="KM829" s="1953"/>
      <c r="KN829" s="1953"/>
      <c r="KO829" s="1953"/>
      <c r="KP829" s="1953"/>
      <c r="KQ829" s="1953"/>
      <c r="KR829" s="1953"/>
      <c r="KS829" s="1953"/>
      <c r="KT829" s="1953"/>
      <c r="KU829" s="1953"/>
      <c r="KV829" s="1953"/>
      <c r="KW829" s="1953"/>
      <c r="KX829" s="1953"/>
      <c r="KY829" s="1953"/>
      <c r="KZ829" s="1953"/>
      <c r="LA829" s="1953"/>
      <c r="LB829" s="1953"/>
      <c r="LC829" s="1953"/>
      <c r="LD829" s="1953"/>
      <c r="LE829" s="1953"/>
      <c r="LF829" s="1953"/>
    </row>
    <row r="830" spans="1:318">
      <c r="A830" s="1202"/>
      <c r="B830" s="1202"/>
      <c r="C830" s="1979"/>
      <c r="D830" s="1979"/>
      <c r="E830" s="1979"/>
      <c r="F830" s="1979"/>
      <c r="G830" s="1979"/>
      <c r="H830" s="1979"/>
      <c r="I830" s="1979"/>
      <c r="J830" s="1979"/>
      <c r="K830" s="1979"/>
      <c r="L830" s="1979"/>
      <c r="M830" s="1979"/>
      <c r="N830" s="1979"/>
      <c r="O830" s="1979"/>
      <c r="W830" s="1311"/>
      <c r="Z830" s="1311"/>
      <c r="AA830" s="457"/>
      <c r="AB830" s="1311"/>
      <c r="AE830" s="1311"/>
      <c r="AF830" s="457"/>
      <c r="AG830" s="1311"/>
      <c r="AJ830" s="1311"/>
      <c r="AK830" s="457"/>
      <c r="AL830" s="1311"/>
      <c r="AO830" s="1311"/>
      <c r="AP830" s="457"/>
      <c r="AQ830" s="1311"/>
      <c r="AR830" s="1311"/>
      <c r="AS830" s="1311"/>
      <c r="AT830" s="1311"/>
      <c r="AU830" s="1311"/>
      <c r="AV830" s="1311"/>
      <c r="AX830" s="1311"/>
      <c r="BA830" s="1311"/>
      <c r="BC830" s="1311"/>
      <c r="JV830" s="1953"/>
      <c r="KA830" s="1953"/>
      <c r="KB830" s="1953"/>
      <c r="KC830" s="1953"/>
      <c r="KD830" s="1953"/>
      <c r="KE830" s="1953"/>
      <c r="KF830" s="1953"/>
      <c r="KG830" s="1953"/>
      <c r="KH830" s="1953"/>
      <c r="KI830" s="1953"/>
      <c r="KJ830" s="1953"/>
      <c r="KK830" s="1953"/>
      <c r="KL830" s="1953"/>
      <c r="KM830" s="1953"/>
      <c r="KN830" s="1953"/>
      <c r="KO830" s="1953"/>
      <c r="KP830" s="1953"/>
      <c r="KQ830" s="1953"/>
      <c r="KR830" s="1953"/>
      <c r="KS830" s="1953"/>
      <c r="KT830" s="1953"/>
      <c r="KU830" s="1953"/>
      <c r="KV830" s="1953"/>
      <c r="KW830" s="1953"/>
      <c r="KX830" s="1953"/>
      <c r="KY830" s="1953"/>
      <c r="KZ830" s="1953"/>
      <c r="LA830" s="1953"/>
      <c r="LB830" s="1953"/>
      <c r="LC830" s="1953"/>
      <c r="LD830" s="1953"/>
      <c r="LE830" s="1953"/>
      <c r="LF830" s="1953"/>
    </row>
    <row r="831" spans="1:318">
      <c r="A831" s="1202"/>
      <c r="B831" s="1202"/>
      <c r="C831" s="1311"/>
      <c r="D831" s="1311"/>
      <c r="E831" s="1311"/>
      <c r="F831" s="1311"/>
      <c r="H831" s="457"/>
      <c r="J831" s="1999"/>
      <c r="K831" s="1999"/>
      <c r="L831" s="1999"/>
      <c r="M831" s="1999"/>
      <c r="N831" s="1999"/>
      <c r="O831" s="1999"/>
      <c r="T831" s="1956"/>
      <c r="W831" s="1311"/>
      <c r="Z831" s="1311"/>
      <c r="AA831" s="457"/>
      <c r="AB831" s="1311"/>
      <c r="AE831" s="1311"/>
      <c r="AF831" s="457"/>
      <c r="AG831" s="1311"/>
      <c r="AJ831" s="1311"/>
      <c r="AK831" s="457"/>
      <c r="AL831" s="1311"/>
      <c r="AO831" s="1311"/>
      <c r="AP831" s="457"/>
      <c r="AQ831" s="1311"/>
      <c r="AR831" s="1311"/>
      <c r="AS831" s="1311"/>
      <c r="AT831" s="1311"/>
      <c r="AU831" s="1311"/>
      <c r="AV831" s="1311"/>
      <c r="AX831" s="1311"/>
      <c r="BA831" s="1311"/>
      <c r="BC831" s="1311"/>
      <c r="JV831" s="1953"/>
      <c r="KA831" s="1953"/>
      <c r="KB831" s="1953"/>
      <c r="KC831" s="1953"/>
      <c r="KD831" s="1953"/>
      <c r="KE831" s="1953"/>
      <c r="KF831" s="1953"/>
      <c r="KG831" s="1953"/>
      <c r="KH831" s="1953"/>
      <c r="KI831" s="1953"/>
      <c r="KJ831" s="1953"/>
      <c r="KK831" s="1953"/>
      <c r="KL831" s="1953"/>
      <c r="KM831" s="1953"/>
      <c r="KN831" s="1953"/>
      <c r="KO831" s="1953"/>
      <c r="KP831" s="1953"/>
      <c r="KQ831" s="1953"/>
      <c r="KR831" s="1953"/>
      <c r="KS831" s="1953"/>
      <c r="KT831" s="1953"/>
      <c r="KU831" s="1953"/>
      <c r="KV831" s="1953"/>
      <c r="KW831" s="1953"/>
      <c r="KX831" s="1953"/>
      <c r="KY831" s="1953"/>
      <c r="KZ831" s="1953"/>
      <c r="LA831" s="1953"/>
      <c r="LB831" s="1953"/>
      <c r="LC831" s="1953"/>
      <c r="LD831" s="1953"/>
      <c r="LE831" s="1953"/>
      <c r="LF831" s="1953"/>
    </row>
    <row r="832" spans="1:318" ht="12.75" customHeight="1">
      <c r="A832" s="1202"/>
      <c r="B832" s="1202"/>
      <c r="C832" s="1979" t="s">
        <v>4392</v>
      </c>
      <c r="D832" s="1979"/>
      <c r="E832" s="1979"/>
      <c r="F832" s="1979"/>
      <c r="G832" s="1957"/>
      <c r="H832" s="457"/>
      <c r="I832" s="2000" t="s">
        <v>4391</v>
      </c>
      <c r="J832" s="1999"/>
      <c r="O832" s="1999"/>
      <c r="P832" s="1051" t="s">
        <v>4390</v>
      </c>
      <c r="R832" s="1979">
        <f>'Part VI-Revenues &amp; Expenses'!R70</f>
        <v>0</v>
      </c>
      <c r="S832" s="1979"/>
      <c r="T832" s="1979"/>
      <c r="U832" s="1979"/>
      <c r="V832" s="1979"/>
      <c r="W832" s="1311"/>
      <c r="Z832" s="1311"/>
      <c r="AA832" s="457"/>
      <c r="AB832" s="1311"/>
      <c r="AE832" s="1311"/>
      <c r="AF832" s="457"/>
      <c r="AG832" s="1311"/>
      <c r="AJ832" s="1311"/>
      <c r="AK832" s="457"/>
      <c r="AL832" s="1311"/>
      <c r="AO832" s="1311"/>
      <c r="AP832" s="457"/>
      <c r="AQ832" s="1311"/>
      <c r="AR832" s="1311"/>
      <c r="AS832" s="1311"/>
      <c r="AT832" s="1311"/>
      <c r="AU832" s="1311"/>
      <c r="AV832" s="1311"/>
      <c r="AX832" s="1311"/>
      <c r="BA832" s="1311"/>
      <c r="BC832" s="1311"/>
      <c r="JV832" s="1953"/>
      <c r="KA832" s="1953"/>
      <c r="KB832" s="1953"/>
      <c r="KC832" s="1953"/>
      <c r="KD832" s="1953"/>
      <c r="KE832" s="1953"/>
      <c r="KF832" s="1953"/>
      <c r="KG832" s="1953"/>
      <c r="KH832" s="1953"/>
      <c r="KI832" s="1953"/>
      <c r="KJ832" s="1953"/>
      <c r="KK832" s="1953"/>
      <c r="KL832" s="1953"/>
      <c r="KM832" s="1953"/>
      <c r="KN832" s="1953"/>
      <c r="KO832" s="1953"/>
      <c r="KP832" s="1953"/>
      <c r="KQ832" s="1953"/>
      <c r="KR832" s="1953"/>
      <c r="KS832" s="1953"/>
      <c r="KT832" s="1953"/>
      <c r="KU832" s="1953"/>
      <c r="KV832" s="1953"/>
      <c r="KW832" s="1953"/>
      <c r="KX832" s="1953"/>
      <c r="KY832" s="1953"/>
      <c r="KZ832" s="1953"/>
      <c r="LA832" s="1953"/>
      <c r="LB832" s="1953"/>
      <c r="LC832" s="1953"/>
      <c r="LD832" s="1953"/>
      <c r="LE832" s="1953"/>
      <c r="LF832" s="1953"/>
    </row>
    <row r="833" spans="1:318">
      <c r="A833" s="1202"/>
      <c r="B833" s="1202"/>
      <c r="C833" s="1979"/>
      <c r="D833" s="1979"/>
      <c r="E833" s="1979"/>
      <c r="F833" s="1979"/>
      <c r="G833" s="1957"/>
      <c r="H833" s="457" t="s">
        <v>4287</v>
      </c>
      <c r="I833" s="2001" t="str">
        <f>'Part VI-Revenues &amp; Expenses'!I71</f>
        <v/>
      </c>
      <c r="J833" s="2002">
        <f>'Part VI-Revenues &amp; Expenses'!J71</f>
        <v>0</v>
      </c>
      <c r="K833" s="2002">
        <f>'Part VI-Revenues &amp; Expenses'!K71</f>
        <v>0</v>
      </c>
      <c r="L833" s="2002">
        <f>'Part VI-Revenues &amp; Expenses'!L71</f>
        <v>0</v>
      </c>
      <c r="M833" s="2002">
        <f>'Part VI-Revenues &amp; Expenses'!M71</f>
        <v>0</v>
      </c>
      <c r="N833" s="2002">
        <f>'Part VI-Revenues &amp; Expenses'!N71</f>
        <v>0</v>
      </c>
      <c r="O833" s="2002">
        <f>'Part VI-Revenues &amp; Expenses'!O71</f>
        <v>0</v>
      </c>
      <c r="P833" s="2003" t="str">
        <f>IF(O833=0,"",AVERAGEIF(J833:N833,"&gt;0"))</f>
        <v/>
      </c>
      <c r="R833" s="1979">
        <f>'Part VI-Revenues &amp; Expenses'!R71</f>
        <v>0</v>
      </c>
      <c r="S833" s="1979"/>
      <c r="T833" s="1979"/>
      <c r="U833" s="1979"/>
      <c r="V833" s="1979"/>
      <c r="W833" s="1311"/>
      <c r="Z833" s="1311"/>
      <c r="AA833" s="457"/>
      <c r="AB833" s="1311"/>
      <c r="AE833" s="1311"/>
      <c r="AF833" s="457"/>
      <c r="AG833" s="1311"/>
      <c r="AJ833" s="1311"/>
      <c r="AK833" s="457"/>
      <c r="AL833" s="1311"/>
      <c r="AO833" s="1311"/>
      <c r="AP833" s="457"/>
      <c r="AQ833" s="1311"/>
      <c r="AR833" s="1311"/>
      <c r="AS833" s="1311"/>
      <c r="AT833" s="1311"/>
      <c r="AU833" s="1311"/>
      <c r="AV833" s="1311"/>
      <c r="AX833" s="1311"/>
      <c r="BA833" s="1311"/>
      <c r="BC833" s="1311"/>
      <c r="JV833" s="1953"/>
      <c r="KA833" s="1953"/>
      <c r="KB833" s="1953"/>
      <c r="KC833" s="1953"/>
      <c r="KD833" s="1953"/>
      <c r="KE833" s="1953"/>
      <c r="KF833" s="1953"/>
      <c r="KG833" s="1953"/>
      <c r="KH833" s="1953"/>
      <c r="KI833" s="1953"/>
      <c r="KJ833" s="1953"/>
      <c r="KK833" s="1953"/>
      <c r="KL833" s="1953"/>
      <c r="KM833" s="1953"/>
      <c r="KN833" s="1953"/>
      <c r="KO833" s="1953"/>
      <c r="KP833" s="1953"/>
      <c r="KQ833" s="1953"/>
      <c r="KR833" s="1953"/>
      <c r="KS833" s="1953"/>
      <c r="KT833" s="1953"/>
      <c r="KU833" s="1953"/>
      <c r="KV833" s="1953"/>
      <c r="KW833" s="1953"/>
      <c r="KX833" s="1953"/>
      <c r="KY833" s="1953"/>
      <c r="KZ833" s="1953"/>
      <c r="LA833" s="1953"/>
      <c r="LB833" s="1953"/>
      <c r="LC833" s="1953"/>
      <c r="LD833" s="1953"/>
      <c r="LE833" s="1953"/>
      <c r="LF833" s="1953"/>
    </row>
    <row r="834" spans="1:318">
      <c r="A834" s="1202"/>
      <c r="B834" s="1202"/>
      <c r="C834" s="1979"/>
      <c r="D834" s="1979"/>
      <c r="E834" s="1979"/>
      <c r="F834" s="1979"/>
      <c r="G834" s="1957"/>
      <c r="H834" s="457" t="s">
        <v>4288</v>
      </c>
      <c r="I834" s="2001" t="str">
        <f>'Part VI-Revenues &amp; Expenses'!I72</f>
        <v/>
      </c>
      <c r="J834" s="2002">
        <f>'Part VI-Revenues &amp; Expenses'!J72</f>
        <v>0</v>
      </c>
      <c r="K834" s="2002">
        <f>'Part VI-Revenues &amp; Expenses'!K72</f>
        <v>0</v>
      </c>
      <c r="L834" s="2002">
        <f>'Part VI-Revenues &amp; Expenses'!L72</f>
        <v>0</v>
      </c>
      <c r="M834" s="2002">
        <f>'Part VI-Revenues &amp; Expenses'!M72</f>
        <v>0</v>
      </c>
      <c r="N834" s="2002">
        <f>'Part VI-Revenues &amp; Expenses'!N72</f>
        <v>0</v>
      </c>
      <c r="O834" s="2002">
        <f>'Part VI-Revenues &amp; Expenses'!O72</f>
        <v>0</v>
      </c>
      <c r="P834" s="2003" t="str">
        <f t="shared" ref="P834:P839" si="344">IF(O834=0,"",AVERAGEIF(J834:N834,"&gt;0"))</f>
        <v/>
      </c>
      <c r="R834" s="1979">
        <f>'Part VI-Revenues &amp; Expenses'!R72</f>
        <v>0</v>
      </c>
      <c r="S834" s="1979"/>
      <c r="T834" s="1979"/>
      <c r="U834" s="1979"/>
      <c r="V834" s="1979"/>
      <c r="W834" s="1311"/>
      <c r="Z834" s="1311"/>
      <c r="AA834" s="457"/>
      <c r="AB834" s="1311"/>
      <c r="AE834" s="1311"/>
      <c r="AF834" s="457"/>
      <c r="AG834" s="1311"/>
      <c r="AJ834" s="1311"/>
      <c r="AK834" s="457"/>
      <c r="AL834" s="1311"/>
      <c r="AO834" s="1311"/>
      <c r="AP834" s="457"/>
      <c r="AQ834" s="1311"/>
      <c r="AR834" s="1311"/>
      <c r="AS834" s="1311"/>
      <c r="AT834" s="1311"/>
      <c r="AU834" s="1311"/>
      <c r="AV834" s="1311"/>
      <c r="AX834" s="1311"/>
      <c r="BA834" s="1311"/>
      <c r="BC834" s="1311"/>
      <c r="JV834" s="1953"/>
      <c r="KA834" s="1953"/>
      <c r="KB834" s="1953"/>
      <c r="KC834" s="1953"/>
      <c r="KD834" s="1953"/>
      <c r="KE834" s="1953"/>
      <c r="KF834" s="1953"/>
      <c r="KG834" s="1953"/>
      <c r="KH834" s="1953"/>
      <c r="KI834" s="1953"/>
      <c r="KJ834" s="1953"/>
      <c r="KK834" s="1953"/>
      <c r="KL834" s="1953"/>
      <c r="KM834" s="1953"/>
      <c r="KN834" s="1953"/>
      <c r="KO834" s="1953"/>
      <c r="KP834" s="1953"/>
      <c r="KQ834" s="1953"/>
      <c r="KR834" s="1953"/>
      <c r="KS834" s="1953"/>
      <c r="KT834" s="1953"/>
      <c r="KU834" s="1953"/>
      <c r="KV834" s="1953"/>
      <c r="KW834" s="1953"/>
      <c r="KX834" s="1953"/>
      <c r="KY834" s="1953"/>
      <c r="KZ834" s="1953"/>
      <c r="LA834" s="1953"/>
      <c r="LB834" s="1953"/>
      <c r="LC834" s="1953"/>
      <c r="LD834" s="1953"/>
      <c r="LE834" s="1953"/>
      <c r="LF834" s="1953"/>
    </row>
    <row r="835" spans="1:318" ht="12.75" customHeight="1">
      <c r="A835" s="1202"/>
      <c r="B835" s="1202"/>
      <c r="C835" s="1979"/>
      <c r="D835" s="1979" t="s">
        <v>5046</v>
      </c>
      <c r="E835" s="1979"/>
      <c r="F835" s="1979"/>
      <c r="G835" s="1979"/>
      <c r="H835" s="457" t="s">
        <v>1136</v>
      </c>
      <c r="I835" s="2001" t="str">
        <f>'Part VI-Revenues &amp; Expenses'!I73</f>
        <v/>
      </c>
      <c r="J835" s="2002">
        <f>'Part VI-Revenues &amp; Expenses'!J73</f>
        <v>0</v>
      </c>
      <c r="K835" s="2002">
        <f>'Part VI-Revenues &amp; Expenses'!K73</f>
        <v>0.75</v>
      </c>
      <c r="L835" s="2002">
        <f>'Part VI-Revenues &amp; Expenses'!L73</f>
        <v>0.77142857142857146</v>
      </c>
      <c r="M835" s="2002">
        <f>'Part VI-Revenues &amp; Expenses'!M73</f>
        <v>0.75</v>
      </c>
      <c r="N835" s="2002">
        <f>'Part VI-Revenues &amp; Expenses'!N73</f>
        <v>0</v>
      </c>
      <c r="O835" s="2002">
        <f>'Part VI-Revenues &amp; Expenses'!O73</f>
        <v>0.76056338028169013</v>
      </c>
      <c r="P835" s="2003">
        <f t="shared" si="344"/>
        <v>0.75714285714285712</v>
      </c>
      <c r="R835" s="1979">
        <f>'Part VI-Revenues &amp; Expenses'!R73</f>
        <v>0</v>
      </c>
      <c r="S835" s="1979"/>
      <c r="T835" s="1979"/>
      <c r="U835" s="1979"/>
      <c r="V835" s="1979"/>
      <c r="W835" s="1311"/>
      <c r="Z835" s="1311"/>
      <c r="AA835" s="457"/>
      <c r="AB835" s="1311"/>
      <c r="AE835" s="1311"/>
      <c r="AF835" s="457"/>
      <c r="AG835" s="1311"/>
      <c r="AJ835" s="1311"/>
      <c r="AK835" s="457"/>
      <c r="AL835" s="1311"/>
      <c r="AO835" s="1311"/>
      <c r="AP835" s="457"/>
      <c r="AQ835" s="1311"/>
      <c r="AR835" s="1311"/>
      <c r="AS835" s="1311"/>
      <c r="AT835" s="1311"/>
      <c r="AU835" s="1311"/>
      <c r="AV835" s="1311"/>
      <c r="AX835" s="1311"/>
      <c r="BA835" s="1311"/>
      <c r="BC835" s="1311"/>
      <c r="JV835" s="1953"/>
      <c r="KA835" s="1953"/>
      <c r="KB835" s="1953"/>
      <c r="KC835" s="1953"/>
      <c r="KD835" s="1953"/>
      <c r="KE835" s="1953"/>
      <c r="KF835" s="1953"/>
      <c r="KG835" s="1953"/>
      <c r="KH835" s="1953"/>
      <c r="KI835" s="1953"/>
      <c r="KJ835" s="1953"/>
      <c r="KK835" s="1953"/>
      <c r="KL835" s="1953"/>
      <c r="KM835" s="1953"/>
      <c r="KN835" s="1953"/>
      <c r="KO835" s="1953"/>
      <c r="KP835" s="1953"/>
      <c r="KQ835" s="1953"/>
      <c r="KR835" s="1953"/>
      <c r="KS835" s="1953"/>
      <c r="KT835" s="1953"/>
      <c r="KU835" s="1953"/>
      <c r="KV835" s="1953"/>
      <c r="KW835" s="1953"/>
      <c r="KX835" s="1953"/>
      <c r="KY835" s="1953"/>
      <c r="KZ835" s="1953"/>
      <c r="LA835" s="1953"/>
      <c r="LB835" s="1953"/>
      <c r="LC835" s="1953"/>
      <c r="LD835" s="1953"/>
      <c r="LE835" s="1953"/>
      <c r="LF835" s="1953"/>
    </row>
    <row r="836" spans="1:318">
      <c r="A836" s="1202"/>
      <c r="B836" s="1202"/>
      <c r="C836" s="1979"/>
      <c r="D836" s="1979"/>
      <c r="E836" s="1979"/>
      <c r="F836" s="1979"/>
      <c r="G836" s="1979"/>
      <c r="H836" s="457" t="s">
        <v>116</v>
      </c>
      <c r="I836" s="2001" t="str">
        <f>'Part VI-Revenues &amp; Expenses'!I74</f>
        <v/>
      </c>
      <c r="J836" s="2002">
        <f>'Part VI-Revenues &amp; Expenses'!J74</f>
        <v>0</v>
      </c>
      <c r="K836" s="2002">
        <f>'Part VI-Revenues &amp; Expenses'!K74</f>
        <v>0.25</v>
      </c>
      <c r="L836" s="2002">
        <f>'Part VI-Revenues &amp; Expenses'!L74</f>
        <v>0.22857142857142856</v>
      </c>
      <c r="M836" s="2002">
        <f>'Part VI-Revenues &amp; Expenses'!M74</f>
        <v>0.25</v>
      </c>
      <c r="N836" s="2002">
        <f>'Part VI-Revenues &amp; Expenses'!N74</f>
        <v>0</v>
      </c>
      <c r="O836" s="2002">
        <f>'Part VI-Revenues &amp; Expenses'!O74</f>
        <v>0.23943661971830985</v>
      </c>
      <c r="P836" s="2003">
        <f t="shared" si="344"/>
        <v>0.24285714285714285</v>
      </c>
      <c r="R836" s="1979">
        <f>'Part VI-Revenues &amp; Expenses'!R74</f>
        <v>0</v>
      </c>
      <c r="S836" s="1979"/>
      <c r="T836" s="1979"/>
      <c r="U836" s="1979"/>
      <c r="V836" s="1979"/>
      <c r="W836" s="1311"/>
      <c r="Z836" s="1311"/>
      <c r="AA836" s="457"/>
      <c r="AB836" s="1311"/>
      <c r="AE836" s="1311"/>
      <c r="AF836" s="457"/>
      <c r="AG836" s="1311"/>
      <c r="AJ836" s="1311"/>
      <c r="AK836" s="457"/>
      <c r="AL836" s="1311"/>
      <c r="AO836" s="1311"/>
      <c r="AP836" s="457"/>
      <c r="AQ836" s="1311"/>
      <c r="AR836" s="1311"/>
      <c r="AS836" s="1311"/>
      <c r="AT836" s="1311"/>
      <c r="AU836" s="1311"/>
      <c r="AV836" s="1311"/>
      <c r="AX836" s="1311"/>
      <c r="BA836" s="1311"/>
      <c r="BC836" s="1311"/>
      <c r="JV836" s="1953"/>
      <c r="KA836" s="1953"/>
      <c r="KB836" s="1953"/>
      <c r="KC836" s="1953"/>
      <c r="KD836" s="1953"/>
      <c r="KE836" s="1953"/>
      <c r="KF836" s="1953"/>
      <c r="KG836" s="1953"/>
      <c r="KH836" s="1953"/>
      <c r="KI836" s="1953"/>
      <c r="KJ836" s="1953"/>
      <c r="KK836" s="1953"/>
      <c r="KL836" s="1953"/>
      <c r="KM836" s="1953"/>
      <c r="KN836" s="1953"/>
      <c r="KO836" s="1953"/>
      <c r="KP836" s="1953"/>
      <c r="KQ836" s="1953"/>
      <c r="KR836" s="1953"/>
      <c r="KS836" s="1953"/>
      <c r="KT836" s="1953"/>
      <c r="KU836" s="1953"/>
      <c r="KV836" s="1953"/>
      <c r="KW836" s="1953"/>
      <c r="KX836" s="1953"/>
      <c r="KY836" s="1953"/>
      <c r="KZ836" s="1953"/>
      <c r="LA836" s="1953"/>
      <c r="LB836" s="1953"/>
      <c r="LC836" s="1953"/>
      <c r="LD836" s="1953"/>
      <c r="LE836" s="1953"/>
      <c r="LF836" s="1953"/>
    </row>
    <row r="837" spans="1:318">
      <c r="A837" s="1201"/>
      <c r="B837" s="1201"/>
      <c r="C837" s="1979"/>
      <c r="D837" s="1979"/>
      <c r="E837" s="1979"/>
      <c r="F837" s="1979"/>
      <c r="G837" s="1979"/>
      <c r="H837" s="457" t="s">
        <v>4289</v>
      </c>
      <c r="I837" s="2001" t="str">
        <f>'Part VI-Revenues &amp; Expenses'!I75</f>
        <v/>
      </c>
      <c r="J837" s="2002">
        <f>'Part VI-Revenues &amp; Expenses'!J75</f>
        <v>0</v>
      </c>
      <c r="K837" s="2002">
        <f>'Part VI-Revenues &amp; Expenses'!K75</f>
        <v>0</v>
      </c>
      <c r="L837" s="2002">
        <f>'Part VI-Revenues &amp; Expenses'!L75</f>
        <v>0</v>
      </c>
      <c r="M837" s="2002">
        <f>'Part VI-Revenues &amp; Expenses'!M75</f>
        <v>0</v>
      </c>
      <c r="N837" s="2002">
        <f>'Part VI-Revenues &amp; Expenses'!N75</f>
        <v>0</v>
      </c>
      <c r="O837" s="2002">
        <f>'Part VI-Revenues &amp; Expenses'!O75</f>
        <v>0</v>
      </c>
      <c r="P837" s="2003" t="str">
        <f t="shared" si="344"/>
        <v/>
      </c>
      <c r="R837" s="1979">
        <f>'Part VI-Revenues &amp; Expenses'!R75</f>
        <v>0</v>
      </c>
      <c r="S837" s="1979"/>
      <c r="T837" s="1979"/>
      <c r="U837" s="1979"/>
      <c r="V837" s="1979"/>
      <c r="W837" s="1311"/>
      <c r="Z837" s="1311"/>
      <c r="AA837" s="457"/>
      <c r="AB837" s="1311"/>
      <c r="AE837" s="1311"/>
      <c r="AF837" s="457"/>
      <c r="AG837" s="1311"/>
      <c r="AJ837" s="1311"/>
      <c r="AK837" s="457"/>
      <c r="AL837" s="1311"/>
      <c r="AO837" s="1311"/>
      <c r="AP837" s="457"/>
      <c r="AQ837" s="1311"/>
      <c r="AR837" s="1311"/>
      <c r="AS837" s="1311"/>
      <c r="AT837" s="1311"/>
      <c r="AU837" s="1311"/>
      <c r="AV837" s="1311"/>
      <c r="AX837" s="1311"/>
      <c r="BA837" s="1311"/>
      <c r="BC837" s="1311"/>
      <c r="JV837" s="1953"/>
      <c r="KA837" s="1953"/>
      <c r="KB837" s="1953"/>
      <c r="KC837" s="1953"/>
      <c r="KD837" s="1953"/>
      <c r="KE837" s="1953"/>
      <c r="KF837" s="1953"/>
      <c r="KG837" s="1953"/>
      <c r="KH837" s="1953"/>
      <c r="KI837" s="1953"/>
      <c r="KJ837" s="1953"/>
      <c r="KK837" s="1953"/>
      <c r="KL837" s="1953"/>
      <c r="KM837" s="1953"/>
      <c r="KN837" s="1953"/>
      <c r="KO837" s="1953"/>
      <c r="KP837" s="1953"/>
      <c r="KQ837" s="1953"/>
      <c r="KR837" s="1953"/>
      <c r="KS837" s="1953"/>
      <c r="KT837" s="1953"/>
      <c r="KU837" s="1953"/>
      <c r="KV837" s="1953"/>
      <c r="KW837" s="1953"/>
      <c r="KX837" s="1953"/>
      <c r="KY837" s="1953"/>
      <c r="KZ837" s="1953"/>
      <c r="LA837" s="1953"/>
      <c r="LB837" s="1953"/>
      <c r="LC837" s="1953"/>
      <c r="LD837" s="1953"/>
      <c r="LE837" s="1953"/>
      <c r="LF837" s="1953"/>
    </row>
    <row r="838" spans="1:318">
      <c r="A838" s="1201"/>
      <c r="B838" s="1201"/>
      <c r="C838" s="1979"/>
      <c r="D838" s="1979"/>
      <c r="E838" s="1979"/>
      <c r="F838" s="1979"/>
      <c r="G838" s="1979"/>
      <c r="H838" s="457" t="s">
        <v>4290</v>
      </c>
      <c r="I838" s="2001" t="str">
        <f>'Part VI-Revenues &amp; Expenses'!I76</f>
        <v/>
      </c>
      <c r="J838" s="2002">
        <f>'Part VI-Revenues &amp; Expenses'!J76</f>
        <v>0</v>
      </c>
      <c r="K838" s="2002">
        <f>'Part VI-Revenues &amp; Expenses'!K76</f>
        <v>0</v>
      </c>
      <c r="L838" s="2002">
        <f>'Part VI-Revenues &amp; Expenses'!L76</f>
        <v>0</v>
      </c>
      <c r="M838" s="2002">
        <f>'Part VI-Revenues &amp; Expenses'!M76</f>
        <v>0</v>
      </c>
      <c r="N838" s="2002">
        <f>'Part VI-Revenues &amp; Expenses'!N76</f>
        <v>0</v>
      </c>
      <c r="O838" s="2002">
        <f>'Part VI-Revenues &amp; Expenses'!O76</f>
        <v>0</v>
      </c>
      <c r="P838" s="2003" t="str">
        <f t="shared" si="344"/>
        <v/>
      </c>
      <c r="R838" s="1979">
        <f>'Part VI-Revenues &amp; Expenses'!R76</f>
        <v>0</v>
      </c>
      <c r="S838" s="1979"/>
      <c r="T838" s="1979"/>
      <c r="U838" s="1979"/>
      <c r="V838" s="1979"/>
      <c r="W838" s="1311"/>
      <c r="Z838" s="1311"/>
      <c r="AA838" s="457"/>
      <c r="AB838" s="1311"/>
      <c r="AE838" s="1311"/>
      <c r="AF838" s="457"/>
      <c r="AG838" s="1311"/>
      <c r="AJ838" s="1311"/>
      <c r="AK838" s="457"/>
      <c r="AL838" s="1311"/>
      <c r="AO838" s="1311"/>
      <c r="AP838" s="457"/>
      <c r="AQ838" s="1311"/>
      <c r="AR838" s="1311"/>
      <c r="AS838" s="1311"/>
      <c r="AT838" s="1311"/>
      <c r="AU838" s="1311"/>
      <c r="AV838" s="1311"/>
      <c r="AX838" s="1311"/>
      <c r="BA838" s="1311"/>
      <c r="BC838" s="1311"/>
      <c r="JV838" s="1953"/>
      <c r="KA838" s="1953"/>
      <c r="KB838" s="1953"/>
      <c r="KC838" s="1953"/>
      <c r="KD838" s="1953"/>
      <c r="KE838" s="1953"/>
      <c r="KF838" s="1953"/>
      <c r="KG838" s="1953"/>
      <c r="KH838" s="1953"/>
      <c r="KI838" s="1953"/>
      <c r="KJ838" s="1953"/>
      <c r="KK838" s="1953"/>
      <c r="KL838" s="1953"/>
      <c r="KM838" s="1953"/>
      <c r="KN838" s="1953"/>
      <c r="KO838" s="1953"/>
      <c r="KP838" s="1953"/>
      <c r="KQ838" s="1953"/>
      <c r="KR838" s="1953"/>
      <c r="KS838" s="1953"/>
      <c r="KT838" s="1953"/>
      <c r="KU838" s="1953"/>
      <c r="KV838" s="1953"/>
      <c r="KW838" s="1953"/>
      <c r="KX838" s="1953"/>
      <c r="KY838" s="1953"/>
      <c r="KZ838" s="1953"/>
      <c r="LA838" s="1953"/>
      <c r="LB838" s="1953"/>
      <c r="LC838" s="1953"/>
      <c r="LD838" s="1953"/>
      <c r="LE838" s="1953"/>
      <c r="LF838" s="1953"/>
    </row>
    <row r="839" spans="1:318">
      <c r="A839" s="1201"/>
      <c r="B839" s="1201"/>
      <c r="C839" s="1979"/>
      <c r="D839" s="1979"/>
      <c r="E839" s="1979"/>
      <c r="F839" s="1979"/>
      <c r="G839" s="1979"/>
      <c r="H839" s="457" t="s">
        <v>4291</v>
      </c>
      <c r="I839" s="2001" t="str">
        <f>'Part VI-Revenues &amp; Expenses'!I77</f>
        <v/>
      </c>
      <c r="J839" s="2002">
        <f>'Part VI-Revenues &amp; Expenses'!J77</f>
        <v>0</v>
      </c>
      <c r="K839" s="2002">
        <f>'Part VI-Revenues &amp; Expenses'!K77</f>
        <v>0</v>
      </c>
      <c r="L839" s="2002">
        <f>'Part VI-Revenues &amp; Expenses'!L77</f>
        <v>0</v>
      </c>
      <c r="M839" s="2002">
        <f>'Part VI-Revenues &amp; Expenses'!M77</f>
        <v>0</v>
      </c>
      <c r="N839" s="2002">
        <f>'Part VI-Revenues &amp; Expenses'!N77</f>
        <v>0</v>
      </c>
      <c r="O839" s="2002">
        <f>'Part VI-Revenues &amp; Expenses'!O77</f>
        <v>0</v>
      </c>
      <c r="P839" s="2003" t="str">
        <f t="shared" si="344"/>
        <v/>
      </c>
      <c r="R839" s="1979">
        <f>'Part VI-Revenues &amp; Expenses'!R77</f>
        <v>0</v>
      </c>
      <c r="S839" s="1979"/>
      <c r="T839" s="1979"/>
      <c r="U839" s="1979"/>
      <c r="V839" s="1979"/>
      <c r="W839" s="1311"/>
      <c r="Z839" s="1311"/>
      <c r="AA839" s="457"/>
      <c r="AB839" s="1311"/>
      <c r="AE839" s="1311"/>
      <c r="AF839" s="457"/>
      <c r="AG839" s="1311"/>
      <c r="AJ839" s="1311"/>
      <c r="AK839" s="457"/>
      <c r="AL839" s="1311"/>
      <c r="AO839" s="1311"/>
      <c r="AP839" s="457"/>
      <c r="AQ839" s="1311"/>
      <c r="AR839" s="1311"/>
      <c r="AS839" s="1311"/>
      <c r="AT839" s="1311"/>
      <c r="AU839" s="1311"/>
      <c r="AV839" s="1311"/>
      <c r="AX839" s="1311"/>
      <c r="BA839" s="1311"/>
      <c r="BC839" s="1311"/>
      <c r="JV839" s="1953"/>
      <c r="KA839" s="1953"/>
      <c r="KB839" s="1953"/>
      <c r="KC839" s="1953"/>
      <c r="KD839" s="1953"/>
      <c r="KE839" s="1953"/>
      <c r="KF839" s="1953"/>
      <c r="KG839" s="1953"/>
      <c r="KH839" s="1953"/>
      <c r="KI839" s="1953"/>
      <c r="KJ839" s="1953"/>
      <c r="KK839" s="1953"/>
      <c r="KL839" s="1953"/>
      <c r="KM839" s="1953"/>
      <c r="KN839" s="1953"/>
      <c r="KO839" s="1953"/>
      <c r="KP839" s="1953"/>
      <c r="KQ839" s="1953"/>
      <c r="KR839" s="1953"/>
      <c r="KS839" s="1953"/>
      <c r="KT839" s="1953"/>
      <c r="KU839" s="1953"/>
      <c r="KV839" s="1953"/>
      <c r="KW839" s="1953"/>
      <c r="KX839" s="1953"/>
      <c r="KY839" s="1953"/>
      <c r="KZ839" s="1953"/>
      <c r="LA839" s="1953"/>
      <c r="LB839" s="1953"/>
      <c r="LC839" s="1953"/>
      <c r="LD839" s="1953"/>
      <c r="LE839" s="1953"/>
      <c r="LF839" s="1953"/>
    </row>
    <row r="840" spans="1:318">
      <c r="A840" s="1201"/>
      <c r="B840" s="1201"/>
      <c r="C840" s="1979"/>
      <c r="D840" s="1979"/>
      <c r="E840" s="1979"/>
      <c r="F840" s="1979"/>
      <c r="G840" s="1979"/>
      <c r="H840" s="1979"/>
      <c r="I840" s="1979"/>
      <c r="J840" s="1979"/>
      <c r="K840" s="1979"/>
      <c r="L840" s="1979"/>
      <c r="M840" s="1979"/>
      <c r="N840" s="1979"/>
      <c r="O840" s="1979"/>
      <c r="W840" s="1311"/>
      <c r="Z840" s="1311"/>
      <c r="AA840" s="457"/>
      <c r="AB840" s="1311"/>
      <c r="AE840" s="1311"/>
      <c r="AF840" s="457"/>
      <c r="AG840" s="1311"/>
      <c r="AJ840" s="1311"/>
      <c r="AK840" s="457"/>
      <c r="AL840" s="1311"/>
      <c r="AO840" s="1311"/>
      <c r="AP840" s="457"/>
      <c r="AQ840" s="1311"/>
      <c r="AR840" s="1311"/>
      <c r="AS840" s="1311"/>
      <c r="AT840" s="1311"/>
      <c r="AU840" s="1311"/>
      <c r="AV840" s="1311"/>
      <c r="AX840" s="1311"/>
      <c r="BA840" s="1311"/>
      <c r="BC840" s="1311"/>
      <c r="JV840" s="1953"/>
      <c r="KA840" s="1953"/>
      <c r="KB840" s="1953"/>
      <c r="KC840" s="1953"/>
      <c r="KD840" s="1953"/>
      <c r="KE840" s="1953"/>
      <c r="KF840" s="1953"/>
      <c r="KG840" s="1953"/>
      <c r="KH840" s="1953"/>
      <c r="KI840" s="1953"/>
      <c r="KJ840" s="1953"/>
      <c r="KK840" s="1953"/>
      <c r="KL840" s="1953"/>
      <c r="KM840" s="1953"/>
      <c r="KN840" s="1953"/>
      <c r="KO840" s="1953"/>
      <c r="KP840" s="1953"/>
      <c r="KQ840" s="1953"/>
      <c r="KR840" s="1953"/>
      <c r="KS840" s="1953"/>
      <c r="KT840" s="1953"/>
      <c r="KU840" s="1953"/>
      <c r="KV840" s="1953"/>
      <c r="KW840" s="1953"/>
      <c r="KX840" s="1953"/>
      <c r="KY840" s="1953"/>
      <c r="KZ840" s="1953"/>
      <c r="LA840" s="1953"/>
      <c r="LB840" s="1953"/>
      <c r="LC840" s="1953"/>
      <c r="LD840" s="1953"/>
      <c r="LE840" s="1953"/>
      <c r="LF840" s="1953"/>
    </row>
    <row r="841" spans="1:318">
      <c r="A841" s="1202"/>
      <c r="B841" s="1202"/>
      <c r="C841" s="1311"/>
      <c r="D841" s="1311"/>
      <c r="E841" s="1311"/>
      <c r="F841" s="1311"/>
      <c r="H841" s="457"/>
      <c r="J841" s="1999"/>
      <c r="K841" s="1999"/>
      <c r="L841" s="1999"/>
      <c r="M841" s="1999"/>
      <c r="N841" s="1999"/>
      <c r="O841" s="1999"/>
      <c r="T841" s="1956"/>
      <c r="W841" s="1311"/>
      <c r="Z841" s="1311"/>
      <c r="AA841" s="457"/>
      <c r="AB841" s="1311"/>
      <c r="AE841" s="1311"/>
      <c r="AF841" s="457"/>
      <c r="AG841" s="1311"/>
      <c r="AJ841" s="1311"/>
      <c r="AK841" s="457"/>
      <c r="AL841" s="1311"/>
      <c r="AO841" s="1311"/>
      <c r="AP841" s="457"/>
      <c r="AQ841" s="1311"/>
      <c r="AR841" s="1311"/>
      <c r="AS841" s="1311"/>
      <c r="AT841" s="1311"/>
      <c r="AU841" s="1311"/>
      <c r="AV841" s="1311"/>
      <c r="AX841" s="1311"/>
      <c r="BA841" s="1311"/>
      <c r="BC841" s="1311"/>
      <c r="JV841" s="1953"/>
      <c r="KA841" s="1953"/>
      <c r="KB841" s="1953"/>
      <c r="KC841" s="1953"/>
      <c r="KD841" s="1953"/>
      <c r="KE841" s="1953"/>
      <c r="KF841" s="1953"/>
      <c r="KG841" s="1953"/>
      <c r="KH841" s="1953"/>
      <c r="KI841" s="1953"/>
      <c r="KJ841" s="1953"/>
      <c r="KK841" s="1953"/>
      <c r="KL841" s="1953"/>
      <c r="KM841" s="1953"/>
      <c r="KN841" s="1953"/>
      <c r="KO841" s="1953"/>
      <c r="KP841" s="1953"/>
      <c r="KQ841" s="1953"/>
      <c r="KR841" s="1953"/>
      <c r="KS841" s="1953"/>
      <c r="KT841" s="1953"/>
      <c r="KU841" s="1953"/>
      <c r="KV841" s="1953"/>
      <c r="KW841" s="1953"/>
      <c r="KX841" s="1953"/>
      <c r="KY841" s="1953"/>
      <c r="KZ841" s="1953"/>
      <c r="LA841" s="1953"/>
      <c r="LB841" s="1953"/>
      <c r="LC841" s="1953"/>
      <c r="LD841" s="1953"/>
      <c r="LE841" s="1953"/>
      <c r="LF841" s="1953"/>
    </row>
    <row r="842" spans="1:318" ht="13.8">
      <c r="A842" s="1202"/>
      <c r="B842" s="1202"/>
      <c r="C842" s="1311"/>
      <c r="D842" s="1311"/>
      <c r="E842" s="1311"/>
      <c r="F842" s="1311"/>
      <c r="H842" s="457"/>
      <c r="J842" s="1999"/>
      <c r="K842" s="1999"/>
      <c r="L842" s="1999"/>
      <c r="M842" s="1999"/>
      <c r="N842" s="1999"/>
      <c r="O842" s="1999"/>
      <c r="R842" s="1787" t="str">
        <f>C843</f>
        <v>PBRA-Assisted</v>
      </c>
      <c r="T842" s="1956"/>
      <c r="W842" s="1311"/>
      <c r="Z842" s="1311"/>
      <c r="AA842" s="457"/>
      <c r="AB842" s="1311"/>
      <c r="AE842" s="1311"/>
      <c r="AF842" s="457"/>
      <c r="AG842" s="1311"/>
      <c r="AJ842" s="1311"/>
      <c r="AK842" s="457"/>
      <c r="AL842" s="1311"/>
      <c r="AO842" s="1311"/>
      <c r="AP842" s="457"/>
      <c r="AQ842" s="1311"/>
      <c r="AR842" s="1311"/>
      <c r="AS842" s="1311"/>
      <c r="AT842" s="1311"/>
      <c r="AU842" s="1311"/>
      <c r="AV842" s="1311"/>
      <c r="AX842" s="1311"/>
      <c r="BA842" s="1311"/>
      <c r="BC842" s="1311"/>
      <c r="JV842" s="1953"/>
      <c r="KA842" s="1953"/>
      <c r="KB842" s="1953"/>
      <c r="KC842" s="1953"/>
      <c r="KD842" s="1953"/>
      <c r="KE842" s="1953"/>
      <c r="KF842" s="1953"/>
      <c r="KG842" s="1953"/>
      <c r="KH842" s="1953"/>
      <c r="KI842" s="1953"/>
      <c r="KJ842" s="1953"/>
      <c r="KK842" s="1953"/>
      <c r="KL842" s="1953"/>
      <c r="KM842" s="1953"/>
      <c r="KN842" s="1953"/>
      <c r="KO842" s="1953"/>
      <c r="KP842" s="1953"/>
      <c r="KQ842" s="1953"/>
      <c r="KR842" s="1953"/>
      <c r="KS842" s="1953"/>
      <c r="KT842" s="1953"/>
      <c r="KU842" s="1953"/>
      <c r="KV842" s="1953"/>
      <c r="KW842" s="1953"/>
      <c r="KX842" s="1953"/>
      <c r="KY842" s="1953"/>
      <c r="KZ842" s="1953"/>
      <c r="LA842" s="1953"/>
      <c r="LB842" s="1953"/>
      <c r="LC842" s="1953"/>
      <c r="LD842" s="1953"/>
      <c r="LE842" s="1953"/>
      <c r="LF842" s="1953"/>
    </row>
    <row r="843" spans="1:318">
      <c r="A843" s="1202"/>
      <c r="B843" s="1202"/>
      <c r="C843" s="1311" t="s">
        <v>921</v>
      </c>
      <c r="D843" s="1311"/>
      <c r="E843" s="1957"/>
      <c r="F843" s="1311"/>
      <c r="H843" s="457" t="s">
        <v>4287</v>
      </c>
      <c r="J843" s="2004">
        <f>CO810</f>
        <v>0</v>
      </c>
      <c r="K843" s="2004">
        <f>CP810</f>
        <v>0</v>
      </c>
      <c r="L843" s="2004">
        <f>CQ810</f>
        <v>0</v>
      </c>
      <c r="M843" s="2004">
        <f>CR810</f>
        <v>0</v>
      </c>
      <c r="N843" s="2004">
        <f>CS810</f>
        <v>0</v>
      </c>
      <c r="O843" s="1993">
        <f t="shared" ref="O843:O850" si="345">SUM(J843:N843)</f>
        <v>0</v>
      </c>
      <c r="R843" s="1979">
        <f>'Part VI-Revenues &amp; Expenses'!R81</f>
        <v>0</v>
      </c>
      <c r="S843" s="1979"/>
      <c r="T843" s="1979"/>
      <c r="U843" s="1979"/>
      <c r="V843" s="1979"/>
      <c r="W843" s="1311"/>
      <c r="Z843" s="1311"/>
      <c r="AA843" s="457"/>
      <c r="AB843" s="1311"/>
      <c r="AE843" s="1311"/>
      <c r="AF843" s="457"/>
      <c r="AG843" s="1311"/>
      <c r="AJ843" s="1311"/>
      <c r="AK843" s="457"/>
      <c r="AL843" s="1311"/>
      <c r="AO843" s="1311"/>
      <c r="AP843" s="457"/>
      <c r="AQ843" s="458"/>
      <c r="AR843" s="458"/>
      <c r="AS843" s="458"/>
      <c r="AT843" s="458"/>
      <c r="AU843" s="458"/>
      <c r="AV843" s="458"/>
      <c r="AW843" s="457"/>
      <c r="AX843" s="1311"/>
      <c r="BA843" s="458"/>
      <c r="BB843" s="457"/>
      <c r="BC843" s="1311"/>
      <c r="JV843" s="1953"/>
      <c r="KA843" s="1953"/>
      <c r="KB843" s="1953"/>
      <c r="KC843" s="1953"/>
      <c r="KD843" s="1953"/>
      <c r="KE843" s="1953"/>
      <c r="KF843" s="1953"/>
      <c r="KG843" s="1953"/>
      <c r="KH843" s="1953"/>
      <c r="KI843" s="1953"/>
      <c r="KJ843" s="1953"/>
      <c r="KK843" s="1953"/>
      <c r="KL843" s="1953"/>
      <c r="KM843" s="1953"/>
      <c r="KN843" s="1953"/>
      <c r="KO843" s="1953"/>
      <c r="KP843" s="1953"/>
      <c r="KQ843" s="1953"/>
      <c r="KR843" s="1953"/>
      <c r="KS843" s="1953"/>
      <c r="KT843" s="1953"/>
      <c r="KU843" s="1953"/>
      <c r="KV843" s="1953"/>
      <c r="KW843" s="1953"/>
      <c r="KX843" s="1953"/>
      <c r="KY843" s="1953"/>
      <c r="KZ843" s="1953"/>
      <c r="LA843" s="1953"/>
      <c r="LB843" s="1953"/>
      <c r="LC843" s="1953"/>
      <c r="LD843" s="1953"/>
      <c r="LE843" s="1953"/>
      <c r="LF843" s="1953"/>
    </row>
    <row r="844" spans="1:318">
      <c r="A844" s="1202"/>
      <c r="B844" s="1202"/>
      <c r="C844" s="457" t="s">
        <v>2479</v>
      </c>
      <c r="D844" s="1311"/>
      <c r="E844" s="1957"/>
      <c r="F844" s="1311"/>
      <c r="H844" s="457" t="s">
        <v>4288</v>
      </c>
      <c r="J844" s="1993">
        <f>CJ810</f>
        <v>0</v>
      </c>
      <c r="K844" s="1993">
        <f>CK810</f>
        <v>0</v>
      </c>
      <c r="L844" s="1993">
        <f>CL810</f>
        <v>0</v>
      </c>
      <c r="M844" s="1993">
        <f>CM810</f>
        <v>0</v>
      </c>
      <c r="N844" s="1993">
        <f>CN810</f>
        <v>0</v>
      </c>
      <c r="O844" s="1993">
        <f t="shared" si="345"/>
        <v>0</v>
      </c>
      <c r="R844" s="1979">
        <f>'Part VI-Revenues &amp; Expenses'!R82</f>
        <v>0</v>
      </c>
      <c r="S844" s="1979"/>
      <c r="T844" s="1979"/>
      <c r="U844" s="1979"/>
      <c r="V844" s="1979"/>
      <c r="W844" s="1311"/>
      <c r="Z844" s="1311"/>
      <c r="AA844" s="457"/>
      <c r="AB844" s="1311"/>
      <c r="AE844" s="1311"/>
      <c r="AF844" s="457"/>
      <c r="AG844" s="1311"/>
      <c r="AJ844" s="1311"/>
      <c r="AK844" s="457"/>
      <c r="AL844" s="1311"/>
      <c r="AO844" s="1311"/>
      <c r="AP844" s="457"/>
      <c r="AQ844" s="458"/>
      <c r="AR844" s="458"/>
      <c r="AS844" s="458"/>
      <c r="AT844" s="458"/>
      <c r="AU844" s="458"/>
      <c r="AV844" s="458"/>
      <c r="AW844" s="457"/>
      <c r="AX844" s="1311"/>
      <c r="BA844" s="458"/>
      <c r="BB844" s="457"/>
      <c r="BC844" s="1311"/>
      <c r="JV844" s="1953"/>
      <c r="KA844" s="1953"/>
      <c r="KB844" s="1953"/>
      <c r="KC844" s="1953"/>
      <c r="KD844" s="1953"/>
      <c r="KE844" s="1953"/>
      <c r="KF844" s="1953"/>
      <c r="KG844" s="1953"/>
      <c r="KH844" s="1953"/>
      <c r="KI844" s="1953"/>
      <c r="KJ844" s="1953"/>
      <c r="KK844" s="1953"/>
      <c r="KL844" s="1953"/>
      <c r="KM844" s="1953"/>
      <c r="KN844" s="1953"/>
      <c r="KO844" s="1953"/>
      <c r="KP844" s="1953"/>
      <c r="KQ844" s="1953"/>
      <c r="KR844" s="1953"/>
      <c r="KS844" s="1953"/>
      <c r="KT844" s="1953"/>
      <c r="KU844" s="1953"/>
      <c r="KV844" s="1953"/>
      <c r="KW844" s="1953"/>
      <c r="KX844" s="1953"/>
      <c r="KY844" s="1953"/>
      <c r="KZ844" s="1953"/>
      <c r="LA844" s="1953"/>
      <c r="LB844" s="1953"/>
      <c r="LC844" s="1953"/>
      <c r="LD844" s="1953"/>
      <c r="LE844" s="1953"/>
      <c r="LF844" s="1953"/>
    </row>
    <row r="845" spans="1:318">
      <c r="A845" s="1202"/>
      <c r="B845" s="1202"/>
      <c r="C845" s="1311"/>
      <c r="D845" s="1311"/>
      <c r="E845" s="1957"/>
      <c r="F845" s="1311"/>
      <c r="H845" s="457" t="s">
        <v>1136</v>
      </c>
      <c r="J845" s="1993">
        <f>CE810</f>
        <v>0</v>
      </c>
      <c r="K845" s="1993">
        <f>CF810</f>
        <v>0</v>
      </c>
      <c r="L845" s="1993">
        <f>CG810</f>
        <v>0</v>
      </c>
      <c r="M845" s="1993">
        <f>CH810</f>
        <v>0</v>
      </c>
      <c r="N845" s="1993">
        <f>CI810</f>
        <v>0</v>
      </c>
      <c r="O845" s="1993">
        <f t="shared" si="345"/>
        <v>0</v>
      </c>
      <c r="R845" s="1979">
        <f>'Part VI-Revenues &amp; Expenses'!R83</f>
        <v>0</v>
      </c>
      <c r="S845" s="1979"/>
      <c r="T845" s="1979"/>
      <c r="U845" s="1979"/>
      <c r="V845" s="1979"/>
      <c r="W845" s="1311"/>
      <c r="Z845" s="1311"/>
      <c r="AA845" s="457"/>
      <c r="AB845" s="1311"/>
      <c r="AE845" s="1311"/>
      <c r="AF845" s="457"/>
      <c r="AG845" s="1311"/>
      <c r="AJ845" s="1311"/>
      <c r="AK845" s="457"/>
      <c r="AL845" s="1311"/>
      <c r="AO845" s="1311"/>
      <c r="AP845" s="457"/>
      <c r="AQ845" s="458"/>
      <c r="AR845" s="458"/>
      <c r="AS845" s="458"/>
      <c r="AT845" s="458"/>
      <c r="AU845" s="458"/>
      <c r="AV845" s="458"/>
      <c r="AW845" s="457"/>
      <c r="AX845" s="1311"/>
      <c r="BA845" s="458"/>
      <c r="BB845" s="457"/>
      <c r="BC845" s="1311"/>
      <c r="JV845" s="1953"/>
      <c r="KA845" s="1953"/>
      <c r="KB845" s="1953"/>
      <c r="KC845" s="1953"/>
      <c r="KD845" s="1953"/>
      <c r="KE845" s="1953"/>
      <c r="KF845" s="1953"/>
      <c r="KG845" s="1953"/>
      <c r="KH845" s="1953"/>
      <c r="KI845" s="1953"/>
      <c r="KJ845" s="1953"/>
      <c r="KK845" s="1953"/>
      <c r="KL845" s="1953"/>
      <c r="KM845" s="1953"/>
      <c r="KN845" s="1953"/>
      <c r="KO845" s="1953"/>
      <c r="KP845" s="1953"/>
      <c r="KQ845" s="1953"/>
      <c r="KR845" s="1953"/>
      <c r="KS845" s="1953"/>
      <c r="KT845" s="1953"/>
      <c r="KU845" s="1953"/>
      <c r="KV845" s="1953"/>
      <c r="KW845" s="1953"/>
      <c r="KX845" s="1953"/>
      <c r="KY845" s="1953"/>
      <c r="KZ845" s="1953"/>
      <c r="LA845" s="1953"/>
      <c r="LB845" s="1953"/>
      <c r="LC845" s="1953"/>
      <c r="LD845" s="1953"/>
      <c r="LE845" s="1953"/>
      <c r="LF845" s="1953"/>
    </row>
    <row r="846" spans="1:318">
      <c r="A846" s="1202"/>
      <c r="B846" s="1202"/>
      <c r="C846" s="1311"/>
      <c r="D846" s="1311"/>
      <c r="E846" s="1957"/>
      <c r="F846" s="1311"/>
      <c r="H846" s="457" t="s">
        <v>116</v>
      </c>
      <c r="J846" s="1993">
        <f>BZ810</f>
        <v>0</v>
      </c>
      <c r="K846" s="1993">
        <f>CA810</f>
        <v>0</v>
      </c>
      <c r="L846" s="1993">
        <f>CB810</f>
        <v>0</v>
      </c>
      <c r="M846" s="1993">
        <f>CC810</f>
        <v>0</v>
      </c>
      <c r="N846" s="1993">
        <f>CD810</f>
        <v>0</v>
      </c>
      <c r="O846" s="1993">
        <f t="shared" si="345"/>
        <v>0</v>
      </c>
      <c r="R846" s="1979">
        <f>'Part VI-Revenues &amp; Expenses'!R84</f>
        <v>0</v>
      </c>
      <c r="S846" s="1979"/>
      <c r="T846" s="1979"/>
      <c r="U846" s="1979"/>
      <c r="V846" s="1979"/>
      <c r="W846" s="1311"/>
      <c r="Z846" s="1311"/>
      <c r="AA846" s="457"/>
      <c r="AB846" s="1311"/>
      <c r="AE846" s="1311"/>
      <c r="AF846" s="457"/>
      <c r="AG846" s="1311"/>
      <c r="AJ846" s="1311"/>
      <c r="AK846" s="457"/>
      <c r="AL846" s="1311"/>
      <c r="AO846" s="1311"/>
      <c r="AP846" s="457"/>
      <c r="AQ846" s="458"/>
      <c r="AR846" s="458"/>
      <c r="AS846" s="458"/>
      <c r="AT846" s="458"/>
      <c r="AU846" s="458"/>
      <c r="AV846" s="458"/>
      <c r="AW846" s="457"/>
      <c r="AX846" s="1311"/>
      <c r="BA846" s="458"/>
      <c r="BB846" s="457"/>
      <c r="BC846" s="1311"/>
      <c r="JV846" s="1953"/>
      <c r="KA846" s="1953"/>
      <c r="KB846" s="1953"/>
      <c r="KC846" s="1953"/>
      <c r="KD846" s="1953"/>
      <c r="KE846" s="1953"/>
      <c r="KF846" s="1953"/>
      <c r="KG846" s="1953"/>
      <c r="KH846" s="1953"/>
      <c r="KI846" s="1953"/>
      <c r="KJ846" s="1953"/>
      <c r="KK846" s="1953"/>
      <c r="KL846" s="1953"/>
      <c r="KM846" s="1953"/>
      <c r="KN846" s="1953"/>
      <c r="KO846" s="1953"/>
      <c r="KP846" s="1953"/>
      <c r="KQ846" s="1953"/>
      <c r="KR846" s="1953"/>
      <c r="KS846" s="1953"/>
      <c r="KT846" s="1953"/>
      <c r="KU846" s="1953"/>
      <c r="KV846" s="1953"/>
      <c r="KW846" s="1953"/>
      <c r="KX846" s="1953"/>
      <c r="KY846" s="1953"/>
      <c r="KZ846" s="1953"/>
      <c r="LA846" s="1953"/>
      <c r="LB846" s="1953"/>
      <c r="LC846" s="1953"/>
      <c r="LD846" s="1953"/>
      <c r="LE846" s="1953"/>
      <c r="LF846" s="1953"/>
    </row>
    <row r="847" spans="1:318">
      <c r="A847" s="1202"/>
      <c r="B847" s="1202"/>
      <c r="C847" s="1311"/>
      <c r="D847" s="1311"/>
      <c r="E847" s="1957"/>
      <c r="F847" s="1311"/>
      <c r="H847" s="457" t="s">
        <v>4289</v>
      </c>
      <c r="J847" s="1993">
        <f>BU810</f>
        <v>0</v>
      </c>
      <c r="K847" s="1993">
        <f>BV810</f>
        <v>0</v>
      </c>
      <c r="L847" s="1993">
        <f>BW810</f>
        <v>0</v>
      </c>
      <c r="M847" s="1993">
        <f>BX810</f>
        <v>0</v>
      </c>
      <c r="N847" s="1993">
        <f>BY810</f>
        <v>0</v>
      </c>
      <c r="O847" s="1993">
        <f t="shared" si="345"/>
        <v>0</v>
      </c>
      <c r="R847" s="1979">
        <f>'Part VI-Revenues &amp; Expenses'!R85</f>
        <v>0</v>
      </c>
      <c r="S847" s="1979"/>
      <c r="T847" s="1979"/>
      <c r="U847" s="1979"/>
      <c r="V847" s="1979"/>
      <c r="W847" s="1311"/>
      <c r="Z847" s="1311"/>
      <c r="AA847" s="457"/>
      <c r="AB847" s="1311"/>
      <c r="AE847" s="1311"/>
      <c r="AF847" s="457"/>
      <c r="AG847" s="1311"/>
      <c r="AJ847" s="1311"/>
      <c r="AK847" s="457"/>
      <c r="AL847" s="1311"/>
      <c r="AO847" s="1311"/>
      <c r="AP847" s="457"/>
      <c r="AQ847" s="458"/>
      <c r="AR847" s="458"/>
      <c r="AS847" s="458"/>
      <c r="AT847" s="458"/>
      <c r="AU847" s="458"/>
      <c r="AV847" s="458"/>
      <c r="AW847" s="457"/>
      <c r="AX847" s="1311"/>
      <c r="BA847" s="458"/>
      <c r="BB847" s="457"/>
      <c r="BC847" s="1311"/>
      <c r="JV847" s="1953"/>
      <c r="KA847" s="1953"/>
      <c r="KB847" s="1953"/>
      <c r="KC847" s="1953"/>
      <c r="KD847" s="1953"/>
      <c r="KE847" s="1953"/>
      <c r="KF847" s="1953"/>
      <c r="KG847" s="1953"/>
      <c r="KH847" s="1953"/>
      <c r="KI847" s="1953"/>
      <c r="KJ847" s="1953"/>
      <c r="KK847" s="1953"/>
      <c r="KL847" s="1953"/>
      <c r="KM847" s="1953"/>
      <c r="KN847" s="1953"/>
      <c r="KO847" s="1953"/>
      <c r="KP847" s="1953"/>
      <c r="KQ847" s="1953"/>
      <c r="KR847" s="1953"/>
      <c r="KS847" s="1953"/>
      <c r="KT847" s="1953"/>
      <c r="KU847" s="1953"/>
      <c r="KV847" s="1953"/>
      <c r="KW847" s="1953"/>
      <c r="KX847" s="1953"/>
      <c r="KY847" s="1953"/>
      <c r="KZ847" s="1953"/>
      <c r="LA847" s="1953"/>
      <c r="LB847" s="1953"/>
      <c r="LC847" s="1953"/>
      <c r="LD847" s="1953"/>
      <c r="LE847" s="1953"/>
      <c r="LF847" s="1953"/>
    </row>
    <row r="848" spans="1:318">
      <c r="A848" s="2005"/>
      <c r="B848" s="2005"/>
      <c r="C848" s="1311"/>
      <c r="D848" s="1311"/>
      <c r="E848" s="1957"/>
      <c r="F848" s="1311"/>
      <c r="H848" s="457" t="s">
        <v>4290</v>
      </c>
      <c r="J848" s="1993">
        <f>BP810</f>
        <v>0</v>
      </c>
      <c r="K848" s="1993">
        <f>BQ810</f>
        <v>0</v>
      </c>
      <c r="L848" s="1993">
        <f>BR810</f>
        <v>0</v>
      </c>
      <c r="M848" s="1993">
        <f>BS810</f>
        <v>0</v>
      </c>
      <c r="N848" s="1993">
        <f>BT810</f>
        <v>0</v>
      </c>
      <c r="O848" s="1993">
        <f t="shared" si="345"/>
        <v>0</v>
      </c>
      <c r="R848" s="1979">
        <f>'Part VI-Revenues &amp; Expenses'!R86</f>
        <v>0</v>
      </c>
      <c r="S848" s="1979"/>
      <c r="T848" s="1979"/>
      <c r="U848" s="1979"/>
      <c r="V848" s="1979"/>
      <c r="W848" s="1311"/>
      <c r="Z848" s="1311"/>
      <c r="AA848" s="457"/>
      <c r="AB848" s="1311"/>
      <c r="AE848" s="1311"/>
      <c r="AF848" s="457"/>
      <c r="AG848" s="1311"/>
      <c r="AJ848" s="1311"/>
      <c r="AK848" s="457"/>
      <c r="AL848" s="1311"/>
      <c r="AO848" s="1311"/>
      <c r="AP848" s="457"/>
      <c r="AQ848" s="458"/>
      <c r="AR848" s="458"/>
      <c r="AS848" s="458"/>
      <c r="AT848" s="458"/>
      <c r="AU848" s="458"/>
      <c r="AV848" s="458"/>
      <c r="AW848" s="457"/>
      <c r="AX848" s="1311"/>
      <c r="BA848" s="458"/>
      <c r="BB848" s="457"/>
      <c r="BC848" s="1311"/>
      <c r="JV848" s="1953"/>
      <c r="KA848" s="1953"/>
      <c r="KB848" s="1953"/>
      <c r="KC848" s="1953"/>
      <c r="KD848" s="1953"/>
      <c r="KE848" s="1953"/>
      <c r="KF848" s="1953"/>
      <c r="KG848" s="1953"/>
      <c r="KH848" s="1953"/>
      <c r="KI848" s="1953"/>
      <c r="KJ848" s="1953"/>
      <c r="KK848" s="1953"/>
      <c r="KL848" s="1953"/>
      <c r="KM848" s="1953"/>
      <c r="KN848" s="1953"/>
      <c r="KO848" s="1953"/>
      <c r="KP848" s="1953"/>
      <c r="KQ848" s="1953"/>
      <c r="KR848" s="1953"/>
      <c r="KS848" s="1953"/>
      <c r="KT848" s="1953"/>
      <c r="KU848" s="1953"/>
      <c r="KV848" s="1953"/>
      <c r="KW848" s="1953"/>
      <c r="KX848" s="1953"/>
      <c r="KY848" s="1953"/>
      <c r="KZ848" s="1953"/>
      <c r="LA848" s="1953"/>
      <c r="LB848" s="1953"/>
      <c r="LC848" s="1953"/>
      <c r="LD848" s="1953"/>
      <c r="LE848" s="1953"/>
      <c r="LF848" s="1953"/>
    </row>
    <row r="849" spans="1:318">
      <c r="A849" s="2005"/>
      <c r="B849" s="2005"/>
      <c r="D849" s="1311"/>
      <c r="E849" s="1957"/>
      <c r="F849" s="1311"/>
      <c r="H849" s="457" t="s">
        <v>4291</v>
      </c>
      <c r="J849" s="2004">
        <f>BK810</f>
        <v>0</v>
      </c>
      <c r="K849" s="2004">
        <f>BL810</f>
        <v>0</v>
      </c>
      <c r="L849" s="2004">
        <f>BM810</f>
        <v>0</v>
      </c>
      <c r="M849" s="2004">
        <f>BN810</f>
        <v>0</v>
      </c>
      <c r="N849" s="2004">
        <f>BO810</f>
        <v>0</v>
      </c>
      <c r="O849" s="1993">
        <f t="shared" si="345"/>
        <v>0</v>
      </c>
      <c r="R849" s="1979">
        <f>'Part VI-Revenues &amp; Expenses'!R87</f>
        <v>0</v>
      </c>
      <c r="S849" s="1979"/>
      <c r="T849" s="1979"/>
      <c r="U849" s="1979"/>
      <c r="V849" s="1979"/>
      <c r="W849" s="457"/>
      <c r="Z849" s="1311"/>
      <c r="AA849" s="457"/>
      <c r="AB849" s="457"/>
      <c r="AE849" s="1311"/>
      <c r="AF849" s="457"/>
      <c r="AG849" s="457"/>
      <c r="AJ849" s="1311"/>
      <c r="AK849" s="457"/>
      <c r="AL849" s="457"/>
      <c r="AO849" s="1311"/>
      <c r="AP849" s="457"/>
      <c r="AQ849" s="458"/>
      <c r="AR849" s="458"/>
      <c r="AS849" s="458"/>
      <c r="AT849" s="458"/>
      <c r="AU849" s="458"/>
      <c r="AV849" s="458"/>
      <c r="AW849" s="457"/>
      <c r="AX849" s="1311"/>
      <c r="BA849" s="458"/>
      <c r="BB849" s="457"/>
      <c r="BC849" s="1311"/>
      <c r="JV849" s="1953"/>
      <c r="KA849" s="1953"/>
      <c r="KB849" s="1953"/>
      <c r="KC849" s="1953"/>
      <c r="KD849" s="1953"/>
      <c r="KE849" s="1953"/>
      <c r="KF849" s="1953"/>
      <c r="KG849" s="1953"/>
      <c r="KH849" s="1953"/>
      <c r="KI849" s="1953"/>
      <c r="KJ849" s="1953"/>
      <c r="KK849" s="1953"/>
      <c r="KL849" s="1953"/>
      <c r="KM849" s="1953"/>
      <c r="KN849" s="1953"/>
      <c r="KO849" s="1953"/>
      <c r="KP849" s="1953"/>
      <c r="KQ849" s="1953"/>
      <c r="KR849" s="1953"/>
      <c r="KS849" s="1953"/>
      <c r="KT849" s="1953"/>
      <c r="KU849" s="1953"/>
      <c r="KV849" s="1953"/>
      <c r="KW849" s="1953"/>
      <c r="KX849" s="1953"/>
      <c r="KY849" s="1953"/>
      <c r="KZ849" s="1953"/>
      <c r="LA849" s="1953"/>
      <c r="LB849" s="1953"/>
      <c r="LC849" s="1953"/>
      <c r="LD849" s="1953"/>
      <c r="LE849" s="1953"/>
      <c r="LF849" s="1953"/>
    </row>
    <row r="850" spans="1:318">
      <c r="A850" s="2005"/>
      <c r="B850" s="2005"/>
      <c r="C850" s="1311"/>
      <c r="D850" s="1311"/>
      <c r="E850" s="1957"/>
      <c r="F850" s="1311"/>
      <c r="H850" s="457" t="s">
        <v>531</v>
      </c>
      <c r="J850" s="1993">
        <f>SUM(J843:J849)</f>
        <v>0</v>
      </c>
      <c r="K850" s="1993">
        <f>SUM(K843:K849)</f>
        <v>0</v>
      </c>
      <c r="L850" s="1993">
        <f>SUM(L843:L849)</f>
        <v>0</v>
      </c>
      <c r="M850" s="1993">
        <f>SUM(M843:M849)</f>
        <v>0</v>
      </c>
      <c r="N850" s="1993">
        <f>SUM(N843:N849)</f>
        <v>0</v>
      </c>
      <c r="O850" s="1993">
        <f t="shared" si="345"/>
        <v>0</v>
      </c>
      <c r="R850" s="1979">
        <f>'Part VI-Revenues &amp; Expenses'!R88</f>
        <v>0</v>
      </c>
      <c r="S850" s="1979"/>
      <c r="T850" s="1979"/>
      <c r="U850" s="1979"/>
      <c r="V850" s="1979"/>
      <c r="W850" s="1311"/>
      <c r="Z850" s="1311"/>
      <c r="AA850" s="457"/>
      <c r="AB850" s="1311"/>
      <c r="AE850" s="1311"/>
      <c r="AF850" s="457"/>
      <c r="AG850" s="1311"/>
      <c r="AJ850" s="1311"/>
      <c r="AK850" s="457"/>
      <c r="AL850" s="1311"/>
      <c r="AO850" s="1311"/>
      <c r="AP850" s="457"/>
      <c r="AQ850" s="458"/>
      <c r="AR850" s="458"/>
      <c r="AS850" s="458"/>
      <c r="AT850" s="458"/>
      <c r="AU850" s="458"/>
      <c r="AV850" s="458"/>
      <c r="AW850" s="457"/>
      <c r="AX850" s="1311"/>
      <c r="BA850" s="458"/>
      <c r="BB850" s="457"/>
      <c r="BC850" s="1311"/>
      <c r="JV850" s="1953"/>
      <c r="KA850" s="1953"/>
      <c r="KB850" s="1953"/>
      <c r="KC850" s="1953"/>
      <c r="KD850" s="1953"/>
      <c r="KE850" s="1953"/>
      <c r="KF850" s="1953"/>
      <c r="KG850" s="1953"/>
      <c r="KH850" s="1953"/>
      <c r="KI850" s="1953"/>
      <c r="KJ850" s="1953"/>
      <c r="KK850" s="1953"/>
      <c r="KL850" s="1953"/>
      <c r="KM850" s="1953"/>
      <c r="KN850" s="1953"/>
      <c r="KO850" s="1953"/>
      <c r="KP850" s="1953"/>
      <c r="KQ850" s="1953"/>
      <c r="KR850" s="1953"/>
      <c r="KS850" s="1953"/>
      <c r="KT850" s="1953"/>
      <c r="KU850" s="1953"/>
      <c r="KV850" s="1953"/>
      <c r="KW850" s="1953"/>
      <c r="KX850" s="1953"/>
      <c r="KY850" s="1953"/>
      <c r="KZ850" s="1953"/>
      <c r="LA850" s="1953"/>
      <c r="LB850" s="1953"/>
      <c r="LC850" s="1953"/>
      <c r="LD850" s="1953"/>
      <c r="LE850" s="1953"/>
      <c r="LF850" s="1953"/>
    </row>
    <row r="851" spans="1:318">
      <c r="A851" s="2005"/>
      <c r="B851" s="2005"/>
      <c r="C851" s="1311"/>
      <c r="D851" s="1311"/>
      <c r="E851" s="1311"/>
      <c r="F851" s="1311"/>
      <c r="H851" s="457"/>
      <c r="J851" s="1999"/>
      <c r="K851" s="1999"/>
      <c r="L851" s="1999"/>
      <c r="M851" s="1999"/>
      <c r="N851" s="1999"/>
      <c r="O851" s="1999"/>
      <c r="T851" s="1956"/>
      <c r="W851" s="1311"/>
      <c r="Z851" s="1311"/>
      <c r="AA851" s="457"/>
      <c r="AB851" s="1311"/>
      <c r="AE851" s="1311"/>
      <c r="AF851" s="457"/>
      <c r="AG851" s="1311"/>
      <c r="AJ851" s="1311"/>
      <c r="AK851" s="457"/>
      <c r="AL851" s="1311"/>
      <c r="AO851" s="1311"/>
      <c r="AP851" s="457"/>
      <c r="AQ851" s="1311"/>
      <c r="AR851" s="1311"/>
      <c r="AS851" s="1311"/>
      <c r="AT851" s="1311"/>
      <c r="AU851" s="1311"/>
      <c r="AV851" s="1311"/>
      <c r="AX851" s="1311"/>
      <c r="BA851" s="1311"/>
      <c r="BC851" s="1311"/>
      <c r="JV851" s="1953"/>
      <c r="KA851" s="1953"/>
      <c r="KB851" s="1953"/>
      <c r="KC851" s="1953"/>
      <c r="KD851" s="1953"/>
      <c r="KE851" s="1953"/>
      <c r="KF851" s="1953"/>
      <c r="KG851" s="1953"/>
      <c r="KH851" s="1953"/>
      <c r="KI851" s="1953"/>
      <c r="KJ851" s="1953"/>
      <c r="KK851" s="1953"/>
      <c r="KL851" s="1953"/>
      <c r="KM851" s="1953"/>
      <c r="KN851" s="1953"/>
      <c r="KO851" s="1953"/>
      <c r="KP851" s="1953"/>
      <c r="KQ851" s="1953"/>
      <c r="KR851" s="1953"/>
      <c r="KS851" s="1953"/>
      <c r="KT851" s="1953"/>
      <c r="KU851" s="1953"/>
      <c r="KV851" s="1953"/>
      <c r="KW851" s="1953"/>
      <c r="KX851" s="1953"/>
      <c r="KY851" s="1953"/>
      <c r="KZ851" s="1953"/>
      <c r="LA851" s="1953"/>
      <c r="LB851" s="1953"/>
      <c r="LC851" s="1953"/>
      <c r="LD851" s="1953"/>
      <c r="LE851" s="1953"/>
      <c r="LF851" s="1953"/>
    </row>
    <row r="852" spans="1:318">
      <c r="A852" s="638" t="s">
        <v>729</v>
      </c>
      <c r="B852" s="638" t="s">
        <v>5047</v>
      </c>
      <c r="K852" s="1990">
        <f>$K$53</f>
        <v>0</v>
      </c>
      <c r="L852" s="1990"/>
      <c r="M852" s="1990"/>
      <c r="N852" s="1990"/>
      <c r="R852" s="1311" t="str">
        <f>B852</f>
        <v>UNIT SUMMARY (Continued)</v>
      </c>
      <c r="S852" s="1311"/>
      <c r="T852" s="1311"/>
      <c r="U852" s="1311"/>
      <c r="AX852" s="1311"/>
      <c r="BC852" s="1311"/>
      <c r="JV852" s="1953"/>
      <c r="KA852" s="1953"/>
      <c r="KB852" s="1953"/>
      <c r="KC852" s="1953"/>
      <c r="KD852" s="1953"/>
      <c r="KE852" s="1953"/>
      <c r="KF852" s="1953"/>
      <c r="KG852" s="1953"/>
      <c r="KH852" s="1953"/>
      <c r="KI852" s="1953"/>
      <c r="KJ852" s="1953"/>
      <c r="KK852" s="1953"/>
      <c r="KL852" s="1953"/>
      <c r="KM852" s="1953"/>
      <c r="KN852" s="1953"/>
      <c r="KO852" s="1953"/>
      <c r="KP852" s="1953"/>
      <c r="KQ852" s="1953"/>
      <c r="KR852" s="1953"/>
      <c r="KS852" s="1953"/>
      <c r="KT852" s="1953"/>
      <c r="KU852" s="1953"/>
      <c r="KV852" s="1953"/>
      <c r="KW852" s="1953"/>
      <c r="KX852" s="1953"/>
      <c r="KY852" s="1953"/>
      <c r="KZ852" s="1953"/>
      <c r="LA852" s="1953"/>
      <c r="LB852" s="1953"/>
      <c r="LC852" s="1953"/>
      <c r="LD852" s="1953"/>
      <c r="LE852" s="1953"/>
      <c r="LF852" s="1953"/>
    </row>
    <row r="853" spans="1:318" ht="13.8">
      <c r="R853" s="1787" t="str">
        <f>C854</f>
        <v>PHA Operating Subsidy-Assisted</v>
      </c>
      <c r="T853" s="1991"/>
      <c r="AX853" s="1311"/>
      <c r="BC853" s="1311"/>
      <c r="JV853" s="1953"/>
      <c r="KA853" s="1953"/>
      <c r="KB853" s="1953"/>
      <c r="KC853" s="1953"/>
      <c r="KD853" s="1953"/>
      <c r="KE853" s="1953"/>
      <c r="KF853" s="1953"/>
      <c r="KG853" s="1953"/>
      <c r="KH853" s="1953"/>
      <c r="KI853" s="1953"/>
      <c r="KJ853" s="1953"/>
      <c r="KK853" s="1953"/>
      <c r="KL853" s="1953"/>
      <c r="KM853" s="1953"/>
      <c r="KN853" s="1953"/>
      <c r="KO853" s="1953"/>
      <c r="KP853" s="1953"/>
      <c r="KQ853" s="1953"/>
      <c r="KR853" s="1953"/>
      <c r="KS853" s="1953"/>
      <c r="KT853" s="1953"/>
      <c r="KU853" s="1953"/>
      <c r="KV853" s="1953"/>
      <c r="KW853" s="1953"/>
      <c r="KX853" s="1953"/>
      <c r="KY853" s="1953"/>
      <c r="KZ853" s="1953"/>
      <c r="LA853" s="1953"/>
      <c r="LB853" s="1953"/>
      <c r="LC853" s="1953"/>
      <c r="LD853" s="1953"/>
      <c r="LE853" s="1953"/>
      <c r="LF853" s="1953"/>
    </row>
    <row r="854" spans="1:318">
      <c r="A854" s="2005"/>
      <c r="B854" s="2005"/>
      <c r="C854" s="2006" t="s">
        <v>877</v>
      </c>
      <c r="D854" s="2006"/>
      <c r="E854" s="2006"/>
      <c r="F854" s="1311"/>
      <c r="H854" s="457" t="s">
        <v>4287</v>
      </c>
      <c r="J854" s="2004">
        <f>DX810</f>
        <v>0</v>
      </c>
      <c r="K854" s="2004">
        <f>DY810</f>
        <v>0</v>
      </c>
      <c r="L854" s="2004">
        <f>DZ810</f>
        <v>0</v>
      </c>
      <c r="M854" s="2004">
        <f>EA810</f>
        <v>0</v>
      </c>
      <c r="N854" s="2004">
        <f>EB810</f>
        <v>0</v>
      </c>
      <c r="O854" s="1993">
        <f t="shared" ref="O854:O861" si="346">SUM(J854:N854)</f>
        <v>0</v>
      </c>
      <c r="R854" s="1979">
        <f>'Part VI-Revenues &amp; Expenses'!R92</f>
        <v>0</v>
      </c>
      <c r="S854" s="1979"/>
      <c r="T854" s="1979"/>
      <c r="U854" s="1979"/>
      <c r="V854" s="1979"/>
      <c r="W854" s="1311"/>
      <c r="Z854" s="1311"/>
      <c r="AA854" s="457"/>
      <c r="AB854" s="1311"/>
      <c r="AE854" s="1311"/>
      <c r="AF854" s="457"/>
      <c r="AG854" s="1311"/>
      <c r="AJ854" s="1311"/>
      <c r="AK854" s="457"/>
      <c r="AL854" s="1311"/>
      <c r="AO854" s="1311"/>
      <c r="AP854" s="457"/>
      <c r="AQ854" s="458"/>
      <c r="AR854" s="458"/>
      <c r="AS854" s="458"/>
      <c r="AT854" s="458"/>
      <c r="AU854" s="458"/>
      <c r="AV854" s="458"/>
      <c r="AW854" s="457"/>
      <c r="AX854" s="1311"/>
      <c r="BA854" s="458"/>
      <c r="BB854" s="457"/>
      <c r="BC854" s="1311"/>
      <c r="JV854" s="1953"/>
      <c r="KA854" s="1953"/>
      <c r="KB854" s="1953"/>
      <c r="KC854" s="1953"/>
      <c r="KD854" s="1953"/>
      <c r="KE854" s="1953"/>
      <c r="KF854" s="1953"/>
      <c r="KG854" s="1953"/>
      <c r="KH854" s="1953"/>
      <c r="KI854" s="1953"/>
      <c r="KJ854" s="1953"/>
      <c r="KK854" s="1953"/>
      <c r="KL854" s="1953"/>
      <c r="KM854" s="1953"/>
      <c r="KN854" s="1953"/>
      <c r="KO854" s="1953"/>
      <c r="KP854" s="1953"/>
      <c r="KQ854" s="1953"/>
      <c r="KR854" s="1953"/>
      <c r="KS854" s="1953"/>
      <c r="KT854" s="1953"/>
      <c r="KU854" s="1953"/>
      <c r="KV854" s="1953"/>
      <c r="KW854" s="1953"/>
      <c r="KX854" s="1953"/>
      <c r="KY854" s="1953"/>
      <c r="KZ854" s="1953"/>
      <c r="LA854" s="1953"/>
      <c r="LB854" s="1953"/>
      <c r="LC854" s="1953"/>
      <c r="LD854" s="1953"/>
      <c r="LE854" s="1953"/>
      <c r="LF854" s="1953"/>
    </row>
    <row r="855" spans="1:318">
      <c r="A855" s="2005"/>
      <c r="B855" s="2005"/>
      <c r="C855" s="457" t="s">
        <v>2479</v>
      </c>
      <c r="D855" s="2006"/>
      <c r="E855" s="2006"/>
      <c r="F855" s="1311"/>
      <c r="H855" s="457" t="s">
        <v>4288</v>
      </c>
      <c r="J855" s="1993">
        <f>DS810</f>
        <v>0</v>
      </c>
      <c r="K855" s="1993">
        <f>DT810</f>
        <v>0</v>
      </c>
      <c r="L855" s="1993">
        <f>DU810</f>
        <v>0</v>
      </c>
      <c r="M855" s="1993">
        <f>DV810</f>
        <v>0</v>
      </c>
      <c r="N855" s="1993">
        <f>DW810</f>
        <v>0</v>
      </c>
      <c r="O855" s="1993">
        <f t="shared" si="346"/>
        <v>0</v>
      </c>
      <c r="R855" s="1979">
        <f>'Part VI-Revenues &amp; Expenses'!R93</f>
        <v>0</v>
      </c>
      <c r="S855" s="1979"/>
      <c r="T855" s="1979"/>
      <c r="U855" s="1979"/>
      <c r="V855" s="1979"/>
      <c r="W855" s="1311"/>
      <c r="Z855" s="1311"/>
      <c r="AA855" s="457"/>
      <c r="AB855" s="1311"/>
      <c r="AE855" s="1311"/>
      <c r="AF855" s="457"/>
      <c r="AG855" s="1311"/>
      <c r="AJ855" s="1311"/>
      <c r="AK855" s="457"/>
      <c r="AL855" s="1311"/>
      <c r="AO855" s="1311"/>
      <c r="AP855" s="457"/>
      <c r="AQ855" s="458"/>
      <c r="AR855" s="458"/>
      <c r="AS855" s="458"/>
      <c r="AT855" s="458"/>
      <c r="AU855" s="458"/>
      <c r="AV855" s="458"/>
      <c r="AW855" s="457"/>
      <c r="AX855" s="1311"/>
      <c r="BA855" s="458"/>
      <c r="BB855" s="457"/>
      <c r="BC855" s="1311"/>
      <c r="JV855" s="1953"/>
      <c r="KA855" s="1953"/>
      <c r="KB855" s="1953"/>
      <c r="KC855" s="1953"/>
      <c r="KD855" s="1953"/>
      <c r="KE855" s="1953"/>
      <c r="KF855" s="1953"/>
      <c r="KG855" s="1953"/>
      <c r="KH855" s="1953"/>
      <c r="KI855" s="1953"/>
      <c r="KJ855" s="1953"/>
      <c r="KK855" s="1953"/>
      <c r="KL855" s="1953"/>
      <c r="KM855" s="1953"/>
      <c r="KN855" s="1953"/>
      <c r="KO855" s="1953"/>
      <c r="KP855" s="1953"/>
      <c r="KQ855" s="1953"/>
      <c r="KR855" s="1953"/>
      <c r="KS855" s="1953"/>
      <c r="KT855" s="1953"/>
      <c r="KU855" s="1953"/>
      <c r="KV855" s="1953"/>
      <c r="KW855" s="1953"/>
      <c r="KX855" s="1953"/>
      <c r="KY855" s="1953"/>
      <c r="KZ855" s="1953"/>
      <c r="LA855" s="1953"/>
      <c r="LB855" s="1953"/>
      <c r="LC855" s="1953"/>
      <c r="LD855" s="1953"/>
      <c r="LE855" s="1953"/>
      <c r="LF855" s="1953"/>
    </row>
    <row r="856" spans="1:318">
      <c r="A856" s="2005"/>
      <c r="B856" s="2005"/>
      <c r="C856" s="2006"/>
      <c r="D856" s="2006"/>
      <c r="E856" s="2006"/>
      <c r="F856" s="1311"/>
      <c r="H856" s="457" t="s">
        <v>1136</v>
      </c>
      <c r="J856" s="1993">
        <f>DN810</f>
        <v>0</v>
      </c>
      <c r="K856" s="1993">
        <f>DO810</f>
        <v>0</v>
      </c>
      <c r="L856" s="1993">
        <f>DP810</f>
        <v>0</v>
      </c>
      <c r="M856" s="1993">
        <f>DQ810</f>
        <v>0</v>
      </c>
      <c r="N856" s="1993">
        <f>DR810</f>
        <v>0</v>
      </c>
      <c r="O856" s="1993">
        <f t="shared" si="346"/>
        <v>0</v>
      </c>
      <c r="R856" s="1979">
        <f>'Part VI-Revenues &amp; Expenses'!R94</f>
        <v>0</v>
      </c>
      <c r="S856" s="1979"/>
      <c r="T856" s="1979"/>
      <c r="U856" s="1979"/>
      <c r="V856" s="1979"/>
      <c r="W856" s="1311"/>
      <c r="Z856" s="1311"/>
      <c r="AA856" s="457"/>
      <c r="AB856" s="1311"/>
      <c r="AE856" s="1311"/>
      <c r="AF856" s="457"/>
      <c r="AG856" s="1311"/>
      <c r="AJ856" s="1311"/>
      <c r="AK856" s="457"/>
      <c r="AL856" s="1311"/>
      <c r="AO856" s="1311"/>
      <c r="AP856" s="457"/>
      <c r="AQ856" s="458"/>
      <c r="AR856" s="458"/>
      <c r="AS856" s="458"/>
      <c r="AT856" s="458"/>
      <c r="AU856" s="458"/>
      <c r="AV856" s="458"/>
      <c r="AW856" s="457"/>
      <c r="AX856" s="1311"/>
      <c r="BA856" s="458"/>
      <c r="BB856" s="457"/>
      <c r="BC856" s="1311"/>
      <c r="JV856" s="1953"/>
      <c r="KA856" s="1953"/>
      <c r="KB856" s="1953"/>
      <c r="KC856" s="1953"/>
      <c r="KD856" s="1953"/>
      <c r="KE856" s="1953"/>
      <c r="KF856" s="1953"/>
      <c r="KG856" s="1953"/>
      <c r="KH856" s="1953"/>
      <c r="KI856" s="1953"/>
      <c r="KJ856" s="1953"/>
      <c r="KK856" s="1953"/>
      <c r="KL856" s="1953"/>
      <c r="KM856" s="1953"/>
      <c r="KN856" s="1953"/>
      <c r="KO856" s="1953"/>
      <c r="KP856" s="1953"/>
      <c r="KQ856" s="1953"/>
      <c r="KR856" s="1953"/>
      <c r="KS856" s="1953"/>
      <c r="KT856" s="1953"/>
      <c r="KU856" s="1953"/>
      <c r="KV856" s="1953"/>
      <c r="KW856" s="1953"/>
      <c r="KX856" s="1953"/>
      <c r="KY856" s="1953"/>
      <c r="KZ856" s="1953"/>
      <c r="LA856" s="1953"/>
      <c r="LB856" s="1953"/>
      <c r="LC856" s="1953"/>
      <c r="LD856" s="1953"/>
      <c r="LE856" s="1953"/>
      <c r="LF856" s="1953"/>
    </row>
    <row r="857" spans="1:318">
      <c r="A857" s="2005"/>
      <c r="B857" s="2005"/>
      <c r="C857" s="2006"/>
      <c r="D857" s="2006"/>
      <c r="E857" s="2006"/>
      <c r="F857" s="1311"/>
      <c r="H857" s="457" t="s">
        <v>116</v>
      </c>
      <c r="J857" s="1993">
        <f>DI810</f>
        <v>0</v>
      </c>
      <c r="K857" s="1993">
        <f>DJ810</f>
        <v>0</v>
      </c>
      <c r="L857" s="1993">
        <f>DK810</f>
        <v>0</v>
      </c>
      <c r="M857" s="1993">
        <f>DL810</f>
        <v>0</v>
      </c>
      <c r="N857" s="1993">
        <f>DM810</f>
        <v>0</v>
      </c>
      <c r="O857" s="1993">
        <f t="shared" si="346"/>
        <v>0</v>
      </c>
      <c r="R857" s="1979">
        <f>'Part VI-Revenues &amp; Expenses'!R95</f>
        <v>0</v>
      </c>
      <c r="S857" s="1979"/>
      <c r="T857" s="1979"/>
      <c r="U857" s="1979"/>
      <c r="V857" s="1979"/>
      <c r="W857" s="1311"/>
      <c r="Z857" s="1311"/>
      <c r="AA857" s="457"/>
      <c r="AB857" s="1311"/>
      <c r="AE857" s="1311"/>
      <c r="AF857" s="457"/>
      <c r="AG857" s="1311"/>
      <c r="AJ857" s="1311"/>
      <c r="AK857" s="457"/>
      <c r="AL857" s="1311"/>
      <c r="AO857" s="1311"/>
      <c r="AP857" s="457"/>
      <c r="AQ857" s="458"/>
      <c r="AR857" s="458"/>
      <c r="AS857" s="458"/>
      <c r="AT857" s="458"/>
      <c r="AU857" s="458"/>
      <c r="AV857" s="458"/>
      <c r="AW857" s="457"/>
      <c r="AX857" s="1311"/>
      <c r="BA857" s="458"/>
      <c r="BB857" s="457"/>
      <c r="BC857" s="1311"/>
      <c r="JV857" s="1953"/>
      <c r="KA857" s="1953"/>
      <c r="KB857" s="1953"/>
      <c r="KC857" s="1953"/>
      <c r="KD857" s="1953"/>
      <c r="KE857" s="1953"/>
      <c r="KF857" s="1953"/>
      <c r="KG857" s="1953"/>
      <c r="KH857" s="1953"/>
      <c r="KI857" s="1953"/>
      <c r="KJ857" s="1953"/>
      <c r="KK857" s="1953"/>
      <c r="KL857" s="1953"/>
      <c r="KM857" s="1953"/>
      <c r="KN857" s="1953"/>
      <c r="KO857" s="1953"/>
      <c r="KP857" s="1953"/>
      <c r="KQ857" s="1953"/>
      <c r="KR857" s="1953"/>
      <c r="KS857" s="1953"/>
      <c r="KT857" s="1953"/>
      <c r="KU857" s="1953"/>
      <c r="KV857" s="1953"/>
      <c r="KW857" s="1953"/>
      <c r="KX857" s="1953"/>
      <c r="KY857" s="1953"/>
      <c r="KZ857" s="1953"/>
      <c r="LA857" s="1953"/>
      <c r="LB857" s="1953"/>
      <c r="LC857" s="1953"/>
      <c r="LD857" s="1953"/>
      <c r="LE857" s="1953"/>
      <c r="LF857" s="1953"/>
    </row>
    <row r="858" spans="1:318">
      <c r="A858" s="2005"/>
      <c r="B858" s="2005"/>
      <c r="C858" s="2006"/>
      <c r="D858" s="2006"/>
      <c r="E858" s="2006"/>
      <c r="F858" s="1311"/>
      <c r="H858" s="457" t="s">
        <v>4289</v>
      </c>
      <c r="J858" s="1993">
        <f>DD810</f>
        <v>0</v>
      </c>
      <c r="K858" s="1993">
        <f>DE810</f>
        <v>0</v>
      </c>
      <c r="L858" s="1993">
        <f>DF810</f>
        <v>0</v>
      </c>
      <c r="M858" s="1993">
        <f>DG810</f>
        <v>0</v>
      </c>
      <c r="N858" s="1993">
        <f>DH810</f>
        <v>0</v>
      </c>
      <c r="O858" s="1993">
        <f t="shared" si="346"/>
        <v>0</v>
      </c>
      <c r="R858" s="1979">
        <f>'Part VI-Revenues &amp; Expenses'!R96</f>
        <v>0</v>
      </c>
      <c r="S858" s="1979"/>
      <c r="T858" s="1979"/>
      <c r="U858" s="1979"/>
      <c r="V858" s="1979"/>
      <c r="W858" s="1311"/>
      <c r="Z858" s="1311"/>
      <c r="AA858" s="457"/>
      <c r="AB858" s="1311"/>
      <c r="AE858" s="1311"/>
      <c r="AF858" s="457"/>
      <c r="AG858" s="1311"/>
      <c r="AJ858" s="1311"/>
      <c r="AK858" s="457"/>
      <c r="AL858" s="1311"/>
      <c r="AO858" s="1311"/>
      <c r="AP858" s="457"/>
      <c r="AQ858" s="458"/>
      <c r="AR858" s="458"/>
      <c r="AS858" s="458"/>
      <c r="AT858" s="458"/>
      <c r="AU858" s="458"/>
      <c r="AV858" s="458"/>
      <c r="AW858" s="457"/>
      <c r="AX858" s="1311"/>
      <c r="BA858" s="458"/>
      <c r="BB858" s="457"/>
      <c r="BC858" s="1311"/>
      <c r="JV858" s="1953"/>
      <c r="KA858" s="1953"/>
      <c r="KB858" s="1953"/>
      <c r="KC858" s="1953"/>
      <c r="KD858" s="1953"/>
      <c r="KE858" s="1953"/>
      <c r="KF858" s="1953"/>
      <c r="KG858" s="1953"/>
      <c r="KH858" s="1953"/>
      <c r="KI858" s="1953"/>
      <c r="KJ858" s="1953"/>
      <c r="KK858" s="1953"/>
      <c r="KL858" s="1953"/>
      <c r="KM858" s="1953"/>
      <c r="KN858" s="1953"/>
      <c r="KO858" s="1953"/>
      <c r="KP858" s="1953"/>
      <c r="KQ858" s="1953"/>
      <c r="KR858" s="1953"/>
      <c r="KS858" s="1953"/>
      <c r="KT858" s="1953"/>
      <c r="KU858" s="1953"/>
      <c r="KV858" s="1953"/>
      <c r="KW858" s="1953"/>
      <c r="KX858" s="1953"/>
      <c r="KY858" s="1953"/>
      <c r="KZ858" s="1953"/>
      <c r="LA858" s="1953"/>
      <c r="LB858" s="1953"/>
      <c r="LC858" s="1953"/>
      <c r="LD858" s="1953"/>
      <c r="LE858" s="1953"/>
      <c r="LF858" s="1953"/>
    </row>
    <row r="859" spans="1:318">
      <c r="A859" s="2005"/>
      <c r="B859" s="2005"/>
      <c r="C859" s="2006"/>
      <c r="D859" s="2006"/>
      <c r="E859" s="2006"/>
      <c r="F859" s="1311"/>
      <c r="H859" s="457" t="s">
        <v>4290</v>
      </c>
      <c r="J859" s="1993">
        <f>CY810</f>
        <v>0</v>
      </c>
      <c r="K859" s="1993">
        <f>CZ810</f>
        <v>0</v>
      </c>
      <c r="L859" s="1993">
        <f>DA810</f>
        <v>0</v>
      </c>
      <c r="M859" s="1993">
        <f>DB810</f>
        <v>0</v>
      </c>
      <c r="N859" s="1993">
        <f>DC810</f>
        <v>0</v>
      </c>
      <c r="O859" s="1993">
        <f t="shared" si="346"/>
        <v>0</v>
      </c>
      <c r="R859" s="1979">
        <f>'Part VI-Revenues &amp; Expenses'!R97</f>
        <v>0</v>
      </c>
      <c r="S859" s="1979"/>
      <c r="T859" s="1979"/>
      <c r="U859" s="1979"/>
      <c r="V859" s="1979"/>
      <c r="W859" s="1311"/>
      <c r="Z859" s="1311"/>
      <c r="AA859" s="457"/>
      <c r="AB859" s="1311"/>
      <c r="AE859" s="1311"/>
      <c r="AF859" s="457"/>
      <c r="AG859" s="1311"/>
      <c r="AJ859" s="1311"/>
      <c r="AK859" s="457"/>
      <c r="AL859" s="1311"/>
      <c r="AO859" s="1311"/>
      <c r="AP859" s="457"/>
      <c r="AQ859" s="458"/>
      <c r="AR859" s="458"/>
      <c r="AS859" s="458"/>
      <c r="AT859" s="458"/>
      <c r="AU859" s="458"/>
      <c r="AV859" s="458"/>
      <c r="AW859" s="457"/>
      <c r="AX859" s="1311"/>
      <c r="BA859" s="458"/>
      <c r="BB859" s="457"/>
      <c r="BC859" s="1311"/>
      <c r="JV859" s="1953"/>
      <c r="KA859" s="1953"/>
      <c r="KB859" s="1953"/>
      <c r="KC859" s="1953"/>
      <c r="KD859" s="1953"/>
      <c r="KE859" s="1953"/>
      <c r="KF859" s="1953"/>
      <c r="KG859" s="1953"/>
      <c r="KH859" s="1953"/>
      <c r="KI859" s="1953"/>
      <c r="KJ859" s="1953"/>
      <c r="KK859" s="1953"/>
      <c r="KL859" s="1953"/>
      <c r="KM859" s="1953"/>
      <c r="KN859" s="1953"/>
      <c r="KO859" s="1953"/>
      <c r="KP859" s="1953"/>
      <c r="KQ859" s="1953"/>
      <c r="KR859" s="1953"/>
      <c r="KS859" s="1953"/>
      <c r="KT859" s="1953"/>
      <c r="KU859" s="1953"/>
      <c r="KV859" s="1953"/>
      <c r="KW859" s="1953"/>
      <c r="KX859" s="1953"/>
      <c r="KY859" s="1953"/>
      <c r="KZ859" s="1953"/>
      <c r="LA859" s="1953"/>
      <c r="LB859" s="1953"/>
      <c r="LC859" s="1953"/>
      <c r="LD859" s="1953"/>
      <c r="LE859" s="1953"/>
      <c r="LF859" s="1953"/>
    </row>
    <row r="860" spans="1:318">
      <c r="A860" s="2005"/>
      <c r="B860" s="2005"/>
      <c r="C860" s="2006"/>
      <c r="D860" s="2006"/>
      <c r="E860" s="2006"/>
      <c r="F860" s="1311"/>
      <c r="H860" s="457" t="s">
        <v>4291</v>
      </c>
      <c r="J860" s="2004">
        <f>CT810</f>
        <v>0</v>
      </c>
      <c r="K860" s="2004">
        <f>CU810</f>
        <v>0</v>
      </c>
      <c r="L860" s="2004">
        <f>CV810</f>
        <v>0</v>
      </c>
      <c r="M860" s="2004">
        <f>CW810</f>
        <v>0</v>
      </c>
      <c r="N860" s="2004">
        <f>CX810</f>
        <v>0</v>
      </c>
      <c r="O860" s="1993">
        <f t="shared" si="346"/>
        <v>0</v>
      </c>
      <c r="R860" s="1979">
        <f>'Part VI-Revenues &amp; Expenses'!R98</f>
        <v>0</v>
      </c>
      <c r="S860" s="1979"/>
      <c r="T860" s="1979"/>
      <c r="U860" s="1979"/>
      <c r="V860" s="1979"/>
      <c r="W860" s="457"/>
      <c r="Z860" s="1311"/>
      <c r="AA860" s="457"/>
      <c r="AB860" s="457"/>
      <c r="AE860" s="1311"/>
      <c r="AF860" s="457"/>
      <c r="AG860" s="457"/>
      <c r="AJ860" s="1311"/>
      <c r="AK860" s="457"/>
      <c r="AL860" s="457"/>
      <c r="AO860" s="1311"/>
      <c r="AP860" s="457"/>
      <c r="AQ860" s="458"/>
      <c r="AR860" s="458"/>
      <c r="AS860" s="458"/>
      <c r="AT860" s="458"/>
      <c r="AU860" s="458"/>
      <c r="AV860" s="458"/>
      <c r="AW860" s="457"/>
      <c r="AX860" s="1311"/>
      <c r="BA860" s="458"/>
      <c r="BB860" s="457"/>
      <c r="BC860" s="1311"/>
      <c r="JV860" s="1953"/>
      <c r="KA860" s="1953"/>
      <c r="KB860" s="1953"/>
      <c r="KC860" s="1953"/>
      <c r="KD860" s="1953"/>
      <c r="KE860" s="1953"/>
      <c r="KF860" s="1953"/>
      <c r="KG860" s="1953"/>
      <c r="KH860" s="1953"/>
      <c r="KI860" s="1953"/>
      <c r="KJ860" s="1953"/>
      <c r="KK860" s="1953"/>
      <c r="KL860" s="1953"/>
      <c r="KM860" s="1953"/>
      <c r="KN860" s="1953"/>
      <c r="KO860" s="1953"/>
      <c r="KP860" s="1953"/>
      <c r="KQ860" s="1953"/>
      <c r="KR860" s="1953"/>
      <c r="KS860" s="1953"/>
      <c r="KT860" s="1953"/>
      <c r="KU860" s="1953"/>
      <c r="KV860" s="1953"/>
      <c r="KW860" s="1953"/>
      <c r="KX860" s="1953"/>
      <c r="KY860" s="1953"/>
      <c r="KZ860" s="1953"/>
      <c r="LA860" s="1953"/>
      <c r="LB860" s="1953"/>
      <c r="LC860" s="1953"/>
      <c r="LD860" s="1953"/>
      <c r="LE860" s="1953"/>
      <c r="LF860" s="1953"/>
    </row>
    <row r="861" spans="1:318">
      <c r="A861" s="2005"/>
      <c r="B861" s="2005"/>
      <c r="D861" s="1311"/>
      <c r="E861" s="1957"/>
      <c r="F861" s="1311"/>
      <c r="H861" s="457" t="s">
        <v>531</v>
      </c>
      <c r="J861" s="1993">
        <f>SUM(J854:J860)</f>
        <v>0</v>
      </c>
      <c r="K861" s="1993">
        <f>SUM(K854:K860)</f>
        <v>0</v>
      </c>
      <c r="L861" s="1993">
        <f>SUM(L854:L860)</f>
        <v>0</v>
      </c>
      <c r="M861" s="1993">
        <f>SUM(M854:M860)</f>
        <v>0</v>
      </c>
      <c r="N861" s="1993">
        <f>SUM(N854:N860)</f>
        <v>0</v>
      </c>
      <c r="O861" s="1993">
        <f t="shared" si="346"/>
        <v>0</v>
      </c>
      <c r="R861" s="1979">
        <f>'Part VI-Revenues &amp; Expenses'!R99</f>
        <v>0</v>
      </c>
      <c r="S861" s="1979"/>
      <c r="T861" s="1979"/>
      <c r="U861" s="1979"/>
      <c r="V861" s="1979"/>
      <c r="W861" s="1311"/>
      <c r="Z861" s="1311"/>
      <c r="AA861" s="457"/>
      <c r="AB861" s="1311"/>
      <c r="AE861" s="1311"/>
      <c r="AF861" s="457"/>
      <c r="AG861" s="1311"/>
      <c r="AJ861" s="1311"/>
      <c r="AK861" s="457"/>
      <c r="AL861" s="1311"/>
      <c r="AO861" s="1311"/>
      <c r="AP861" s="457"/>
      <c r="AQ861" s="458"/>
      <c r="AR861" s="458"/>
      <c r="AS861" s="458"/>
      <c r="AT861" s="458"/>
      <c r="AU861" s="458"/>
      <c r="AV861" s="458"/>
      <c r="AW861" s="457"/>
      <c r="AX861" s="1311"/>
      <c r="BA861" s="458"/>
      <c r="BB861" s="457"/>
      <c r="BC861" s="1311"/>
      <c r="JV861" s="1953"/>
      <c r="KA861" s="1953"/>
      <c r="KB861" s="1953"/>
      <c r="KC861" s="1953"/>
      <c r="KD861" s="1953"/>
      <c r="KE861" s="1953"/>
      <c r="KF861" s="1953"/>
      <c r="KG861" s="1953"/>
      <c r="KH861" s="1953"/>
      <c r="KI861" s="1953"/>
      <c r="KJ861" s="1953"/>
      <c r="KK861" s="1953"/>
      <c r="KL861" s="1953"/>
      <c r="KM861" s="1953"/>
      <c r="KN861" s="1953"/>
      <c r="KO861" s="1953"/>
      <c r="KP861" s="1953"/>
      <c r="KQ861" s="1953"/>
      <c r="KR861" s="1953"/>
      <c r="KS861" s="1953"/>
      <c r="KT861" s="1953"/>
      <c r="KU861" s="1953"/>
      <c r="KV861" s="1953"/>
      <c r="KW861" s="1953"/>
      <c r="KX861" s="1953"/>
      <c r="KY861" s="1953"/>
      <c r="KZ861" s="1953"/>
      <c r="LA861" s="1953"/>
      <c r="LB861" s="1953"/>
      <c r="LC861" s="1953"/>
      <c r="LD861" s="1953"/>
      <c r="LE861" s="1953"/>
      <c r="LF861" s="1953"/>
    </row>
    <row r="862" spans="1:318" ht="13.8">
      <c r="A862" s="2005"/>
      <c r="B862" s="2005"/>
      <c r="D862" s="1785"/>
      <c r="E862" s="1957"/>
      <c r="F862" s="1311"/>
      <c r="H862" s="457"/>
      <c r="J862" s="1999"/>
      <c r="K862" s="1999"/>
      <c r="L862" s="1999"/>
      <c r="M862" s="1999"/>
      <c r="N862" s="1999"/>
      <c r="O862" s="1999"/>
      <c r="R862" s="1787"/>
      <c r="T862" s="1956"/>
      <c r="W862" s="1311"/>
      <c r="Z862" s="1311"/>
      <c r="AA862" s="457"/>
      <c r="AB862" s="1311"/>
      <c r="AE862" s="1311"/>
      <c r="AF862" s="457"/>
      <c r="AG862" s="1311"/>
      <c r="AJ862" s="1311"/>
      <c r="AK862" s="457"/>
      <c r="AL862" s="1311"/>
      <c r="AO862" s="1311"/>
      <c r="AP862" s="457"/>
      <c r="AQ862" s="1311"/>
      <c r="AR862" s="1311"/>
      <c r="AS862" s="1311"/>
      <c r="AT862" s="1311"/>
      <c r="AU862" s="1311"/>
      <c r="AV862" s="1311"/>
      <c r="AX862" s="1311"/>
      <c r="BA862" s="1311"/>
      <c r="BC862" s="1311"/>
      <c r="JV862" s="1953"/>
      <c r="KA862" s="1953"/>
      <c r="KB862" s="1953"/>
      <c r="KC862" s="1953"/>
      <c r="KD862" s="1953"/>
      <c r="KE862" s="1953"/>
      <c r="KF862" s="1953"/>
      <c r="KG862" s="1953"/>
      <c r="KH862" s="1953"/>
      <c r="KI862" s="1953"/>
      <c r="KJ862" s="1953"/>
      <c r="KK862" s="1953"/>
      <c r="KL862" s="1953"/>
      <c r="KM862" s="1953"/>
      <c r="KN862" s="1953"/>
      <c r="KO862" s="1953"/>
      <c r="KP862" s="1953"/>
      <c r="KQ862" s="1953"/>
      <c r="KR862" s="1953"/>
      <c r="KS862" s="1953"/>
      <c r="KT862" s="1953"/>
      <c r="KU862" s="1953"/>
      <c r="KV862" s="1953"/>
      <c r="KW862" s="1953"/>
      <c r="KX862" s="1953"/>
      <c r="KY862" s="1953"/>
      <c r="KZ862" s="1953"/>
      <c r="LA862" s="1953"/>
      <c r="LB862" s="1953"/>
      <c r="LC862" s="1953"/>
      <c r="LD862" s="1953"/>
      <c r="LE862" s="1953"/>
      <c r="LF862" s="1953"/>
    </row>
    <row r="863" spans="1:318" ht="12.75" customHeight="1">
      <c r="A863" s="2005"/>
      <c r="B863" s="2005"/>
      <c r="C863" s="1979" t="s">
        <v>36</v>
      </c>
      <c r="D863" s="1979"/>
      <c r="E863" s="1957" t="s">
        <v>2266</v>
      </c>
      <c r="F863" s="1311"/>
      <c r="H863" s="457" t="s">
        <v>1416</v>
      </c>
      <c r="J863" s="1993">
        <f>GF810</f>
        <v>0</v>
      </c>
      <c r="K863" s="1993">
        <f>GG810</f>
        <v>28</v>
      </c>
      <c r="L863" s="1993">
        <f>GH810</f>
        <v>35</v>
      </c>
      <c r="M863" s="1993">
        <f>GI810</f>
        <v>8</v>
      </c>
      <c r="N863" s="1993">
        <f>GJ810</f>
        <v>0</v>
      </c>
      <c r="O863" s="1993">
        <f t="shared" ref="O863:O873" si="347">SUM(J863:N863)</f>
        <v>71</v>
      </c>
      <c r="R863" s="1979">
        <f>'Part VI-Revenues &amp; Expenses'!R101</f>
        <v>0</v>
      </c>
      <c r="S863" s="1979"/>
      <c r="T863" s="1979"/>
      <c r="U863" s="1979"/>
      <c r="V863" s="1979"/>
      <c r="W863" s="1311"/>
      <c r="Z863" s="1311"/>
      <c r="AA863" s="457"/>
      <c r="AB863" s="1311"/>
      <c r="AE863" s="1311"/>
      <c r="AF863" s="457"/>
      <c r="AG863" s="1311"/>
      <c r="AJ863" s="1311"/>
      <c r="AK863" s="457"/>
      <c r="AL863" s="1311"/>
      <c r="AO863" s="1311"/>
      <c r="AP863" s="457"/>
      <c r="AQ863" s="458"/>
      <c r="AR863" s="458"/>
      <c r="AS863" s="458"/>
      <c r="AT863" s="458"/>
      <c r="AU863" s="458"/>
      <c r="AV863" s="458"/>
      <c r="BA863" s="458"/>
    </row>
    <row r="864" spans="1:318">
      <c r="A864" s="2005"/>
      <c r="B864" s="2005"/>
      <c r="C864" s="1979"/>
      <c r="D864" s="1979"/>
      <c r="E864" s="1957"/>
      <c r="F864" s="1311"/>
      <c r="H864" s="457" t="s">
        <v>300</v>
      </c>
      <c r="J864" s="1993">
        <f>GK810</f>
        <v>0</v>
      </c>
      <c r="K864" s="1993">
        <f>GL810</f>
        <v>4</v>
      </c>
      <c r="L864" s="1993">
        <f>GM810</f>
        <v>7</v>
      </c>
      <c r="M864" s="1993">
        <f>GN810</f>
        <v>2</v>
      </c>
      <c r="N864" s="1993">
        <f>GO810</f>
        <v>0</v>
      </c>
      <c r="O864" s="1993">
        <f t="shared" si="347"/>
        <v>13</v>
      </c>
      <c r="R864" s="1979">
        <f>'Part VI-Revenues &amp; Expenses'!R102</f>
        <v>0</v>
      </c>
      <c r="S864" s="1979"/>
      <c r="T864" s="1979"/>
      <c r="U864" s="1979"/>
      <c r="V864" s="1979"/>
      <c r="W864" s="1311"/>
      <c r="Z864" s="1311"/>
      <c r="AA864" s="457"/>
      <c r="AB864" s="1311"/>
      <c r="AE864" s="1311"/>
      <c r="AF864" s="457"/>
      <c r="AG864" s="1311"/>
      <c r="AJ864" s="1311"/>
      <c r="AK864" s="457"/>
      <c r="AL864" s="1311"/>
      <c r="AO864" s="1311"/>
      <c r="AP864" s="457"/>
      <c r="AQ864" s="458"/>
      <c r="AR864" s="458"/>
      <c r="AS864" s="458"/>
      <c r="AT864" s="458"/>
      <c r="AU864" s="458"/>
      <c r="AV864" s="458"/>
      <c r="AW864" s="1051"/>
      <c r="AX864" s="1311"/>
      <c r="BA864" s="458"/>
      <c r="BB864" s="1051"/>
      <c r="BC864" s="1311"/>
      <c r="JV864" s="1953"/>
      <c r="KA864" s="1953"/>
      <c r="KB864" s="1953"/>
      <c r="KC864" s="1953"/>
      <c r="KD864" s="1953"/>
      <c r="KE864" s="1953"/>
      <c r="KF864" s="1953"/>
      <c r="KG864" s="1953"/>
      <c r="KH864" s="1953"/>
      <c r="KI864" s="1953"/>
      <c r="KJ864" s="1953"/>
      <c r="KK864" s="1953"/>
      <c r="KL864" s="1953"/>
      <c r="KM864" s="1953"/>
      <c r="KN864" s="1953"/>
      <c r="KO864" s="1953"/>
      <c r="KP864" s="1953"/>
      <c r="KQ864" s="1953"/>
      <c r="KR864" s="1953"/>
      <c r="KS864" s="1953"/>
      <c r="KT864" s="1953"/>
      <c r="KU864" s="1953"/>
      <c r="KV864" s="1953"/>
      <c r="KW864" s="1953"/>
      <c r="KX864" s="1953"/>
      <c r="KY864" s="1953"/>
      <c r="KZ864" s="1953"/>
      <c r="LA864" s="1953"/>
      <c r="LB864" s="1953"/>
      <c r="LC864" s="1953"/>
      <c r="LD864" s="1953"/>
      <c r="LE864" s="1953"/>
      <c r="LF864" s="1953"/>
    </row>
    <row r="865" spans="1:318">
      <c r="A865" s="2005"/>
      <c r="B865" s="2005"/>
      <c r="C865" s="1979"/>
      <c r="D865" s="1979"/>
      <c r="E865" s="1957"/>
      <c r="F865" s="1311"/>
      <c r="H865" s="457" t="s">
        <v>30</v>
      </c>
      <c r="J865" s="1993">
        <f>SUM(J863:J864)+GP810</f>
        <v>0</v>
      </c>
      <c r="K865" s="1993">
        <f>SUM(K863:K864)+GQ810</f>
        <v>32</v>
      </c>
      <c r="L865" s="1993">
        <f>SUM(L863:L864)+GR810</f>
        <v>42</v>
      </c>
      <c r="M865" s="1993">
        <f>SUM(M863:M864)+GS810</f>
        <v>10</v>
      </c>
      <c r="N865" s="1993">
        <f>SUM(N863:N864)+GT810</f>
        <v>0</v>
      </c>
      <c r="O865" s="1993">
        <f t="shared" si="347"/>
        <v>84</v>
      </c>
      <c r="R865" s="1979">
        <f>'Part VI-Revenues &amp; Expenses'!R103</f>
        <v>0</v>
      </c>
      <c r="S865" s="1979"/>
      <c r="T865" s="1979"/>
      <c r="U865" s="1979"/>
      <c r="V865" s="1979"/>
      <c r="W865" s="1311"/>
      <c r="Z865" s="1311"/>
      <c r="AA865" s="457"/>
      <c r="AB865" s="1311"/>
      <c r="AE865" s="1311"/>
      <c r="AF865" s="457"/>
      <c r="AG865" s="1311"/>
      <c r="AJ865" s="1311"/>
      <c r="AK865" s="457"/>
      <c r="AL865" s="1311"/>
      <c r="AO865" s="1311"/>
      <c r="AP865" s="457"/>
      <c r="AQ865" s="458"/>
      <c r="AR865" s="458"/>
      <c r="AS865" s="458"/>
      <c r="AT865" s="458"/>
      <c r="AU865" s="458"/>
      <c r="AV865" s="458"/>
      <c r="AW865" s="457"/>
      <c r="AX865" s="1311"/>
      <c r="BA865" s="458"/>
      <c r="BB865" s="457"/>
      <c r="BC865" s="1311"/>
      <c r="JV865" s="1953"/>
      <c r="KA865" s="1953"/>
      <c r="KB865" s="1953"/>
      <c r="KC865" s="1953"/>
      <c r="KD865" s="1953"/>
      <c r="KE865" s="1953"/>
      <c r="KF865" s="1953"/>
      <c r="KG865" s="1953"/>
      <c r="KH865" s="1953"/>
      <c r="KI865" s="1953"/>
      <c r="KJ865" s="1953"/>
      <c r="KK865" s="1953"/>
      <c r="KL865" s="1953"/>
      <c r="KM865" s="1953"/>
      <c r="KN865" s="1953"/>
      <c r="KO865" s="1953"/>
      <c r="KP865" s="1953"/>
      <c r="KQ865" s="1953"/>
      <c r="KR865" s="1953"/>
      <c r="KS865" s="1953"/>
      <c r="KT865" s="1953"/>
      <c r="KU865" s="1953"/>
      <c r="KV865" s="1953"/>
      <c r="KW865" s="1953"/>
      <c r="KX865" s="1953"/>
      <c r="KY865" s="1953"/>
      <c r="KZ865" s="1953"/>
      <c r="LA865" s="1953"/>
      <c r="LB865" s="1953"/>
      <c r="LC865" s="1953"/>
      <c r="LD865" s="1953"/>
      <c r="LE865" s="1953"/>
      <c r="LF865" s="1953"/>
    </row>
    <row r="866" spans="1:318">
      <c r="A866" s="2005"/>
      <c r="B866" s="2005"/>
      <c r="C866" s="1979"/>
      <c r="D866" s="1979"/>
      <c r="E866" s="1957" t="s">
        <v>2110</v>
      </c>
      <c r="F866" s="1311"/>
      <c r="H866" s="457" t="s">
        <v>1416</v>
      </c>
      <c r="J866" s="1993">
        <f>GU810</f>
        <v>0</v>
      </c>
      <c r="K866" s="1993">
        <f>GV810</f>
        <v>0</v>
      </c>
      <c r="L866" s="1993">
        <f>GW810</f>
        <v>0</v>
      </c>
      <c r="M866" s="1993">
        <f>GX810</f>
        <v>0</v>
      </c>
      <c r="N866" s="1993">
        <f>GY810</f>
        <v>0</v>
      </c>
      <c r="O866" s="1993">
        <f t="shared" si="347"/>
        <v>0</v>
      </c>
      <c r="R866" s="1979">
        <f>'Part VI-Revenues &amp; Expenses'!R104</f>
        <v>0</v>
      </c>
      <c r="S866" s="1979"/>
      <c r="T866" s="1979"/>
      <c r="U866" s="1979"/>
      <c r="V866" s="1979"/>
      <c r="W866" s="1311"/>
      <c r="Z866" s="1311"/>
      <c r="AA866" s="457"/>
      <c r="AB866" s="1311"/>
      <c r="AE866" s="1311"/>
      <c r="AF866" s="457"/>
      <c r="AG866" s="1311"/>
      <c r="AJ866" s="1311"/>
      <c r="AK866" s="457"/>
      <c r="AL866" s="1311"/>
      <c r="AO866" s="1311"/>
      <c r="AP866" s="457"/>
      <c r="AQ866" s="458"/>
      <c r="AR866" s="458"/>
      <c r="AS866" s="458"/>
      <c r="AT866" s="458"/>
      <c r="AU866" s="458"/>
      <c r="AV866" s="458"/>
      <c r="BA866" s="458"/>
    </row>
    <row r="867" spans="1:318">
      <c r="A867" s="2005"/>
      <c r="B867" s="2005"/>
      <c r="C867" s="1979"/>
      <c r="D867" s="1979"/>
      <c r="E867" s="1957"/>
      <c r="F867" s="1311"/>
      <c r="H867" s="457" t="s">
        <v>300</v>
      </c>
      <c r="J867" s="1993">
        <f>GZ810</f>
        <v>0</v>
      </c>
      <c r="K867" s="1993">
        <f>HA810</f>
        <v>0</v>
      </c>
      <c r="L867" s="1993">
        <f>HB810</f>
        <v>0</v>
      </c>
      <c r="M867" s="1993">
        <f>HC810</f>
        <v>0</v>
      </c>
      <c r="N867" s="1993">
        <f>HD810</f>
        <v>0</v>
      </c>
      <c r="O867" s="1993">
        <f t="shared" si="347"/>
        <v>0</v>
      </c>
      <c r="R867" s="1979">
        <f>'Part VI-Revenues &amp; Expenses'!R105</f>
        <v>0</v>
      </c>
      <c r="S867" s="1979"/>
      <c r="T867" s="1979"/>
      <c r="U867" s="1979"/>
      <c r="V867" s="1979"/>
      <c r="W867" s="1311"/>
      <c r="Z867" s="1311"/>
      <c r="AA867" s="457"/>
      <c r="AB867" s="1311"/>
      <c r="AE867" s="1311"/>
      <c r="AF867" s="457"/>
      <c r="AG867" s="1311"/>
      <c r="AJ867" s="1311"/>
      <c r="AK867" s="457"/>
      <c r="AL867" s="1311"/>
      <c r="AO867" s="1311"/>
      <c r="AP867" s="457"/>
      <c r="AQ867" s="458"/>
      <c r="AR867" s="458"/>
      <c r="AS867" s="458"/>
      <c r="AT867" s="458"/>
      <c r="AU867" s="458"/>
      <c r="AV867" s="458"/>
      <c r="AW867" s="1051"/>
      <c r="AX867" s="1311"/>
      <c r="BA867" s="458"/>
      <c r="BB867" s="1051"/>
      <c r="BC867" s="1311"/>
      <c r="JV867" s="1953"/>
      <c r="KA867" s="1953"/>
      <c r="KB867" s="1953"/>
      <c r="KC867" s="1953"/>
      <c r="KD867" s="1953"/>
      <c r="KE867" s="1953"/>
      <c r="KF867" s="1953"/>
      <c r="KG867" s="1953"/>
      <c r="KH867" s="1953"/>
      <c r="KI867" s="1953"/>
      <c r="KJ867" s="1953"/>
      <c r="KK867" s="1953"/>
      <c r="KL867" s="1953"/>
      <c r="KM867" s="1953"/>
      <c r="KN867" s="1953"/>
      <c r="KO867" s="1953"/>
      <c r="KP867" s="1953"/>
      <c r="KQ867" s="1953"/>
      <c r="KR867" s="1953"/>
      <c r="KS867" s="1953"/>
      <c r="KT867" s="1953"/>
      <c r="KU867" s="1953"/>
      <c r="KV867" s="1953"/>
      <c r="KW867" s="1953"/>
      <c r="KX867" s="1953"/>
      <c r="KY867" s="1953"/>
      <c r="KZ867" s="1953"/>
      <c r="LA867" s="1953"/>
      <c r="LB867" s="1953"/>
      <c r="LC867" s="1953"/>
      <c r="LD867" s="1953"/>
      <c r="LE867" s="1953"/>
      <c r="LF867" s="1953"/>
    </row>
    <row r="868" spans="1:318">
      <c r="A868" s="2005"/>
      <c r="B868" s="2005"/>
      <c r="C868" s="1979"/>
      <c r="D868" s="1979"/>
      <c r="E868" s="1957"/>
      <c r="F868" s="1311"/>
      <c r="H868" s="457" t="s">
        <v>30</v>
      </c>
      <c r="J868" s="1993">
        <f>SUM(J866:J867)+HE810</f>
        <v>0</v>
      </c>
      <c r="K868" s="1993">
        <f>SUM(K866:K867)+HF810</f>
        <v>0</v>
      </c>
      <c r="L868" s="1993">
        <f>SUM(L866:L867)+HG810</f>
        <v>0</v>
      </c>
      <c r="M868" s="1993">
        <f>SUM(M866:M867)+HH810</f>
        <v>0</v>
      </c>
      <c r="N868" s="1993">
        <f>SUM(N866:N867)+HI810</f>
        <v>0</v>
      </c>
      <c r="O868" s="1993">
        <f t="shared" si="347"/>
        <v>0</v>
      </c>
      <c r="R868" s="1979">
        <f>'Part VI-Revenues &amp; Expenses'!R106</f>
        <v>0</v>
      </c>
      <c r="S868" s="1979"/>
      <c r="T868" s="1979"/>
      <c r="U868" s="1979"/>
      <c r="V868" s="1979"/>
      <c r="W868" s="1311"/>
      <c r="Z868" s="1311"/>
      <c r="AA868" s="457"/>
      <c r="AB868" s="1311"/>
      <c r="AE868" s="1311"/>
      <c r="AF868" s="457"/>
      <c r="AG868" s="1311"/>
      <c r="AJ868" s="1311"/>
      <c r="AK868" s="457"/>
      <c r="AL868" s="1311"/>
      <c r="AO868" s="1311"/>
      <c r="AP868" s="457"/>
      <c r="AQ868" s="458"/>
      <c r="AR868" s="458"/>
      <c r="AS868" s="458"/>
      <c r="AT868" s="458"/>
      <c r="AU868" s="458"/>
      <c r="AV868" s="458"/>
      <c r="AW868" s="457"/>
      <c r="AX868" s="1311"/>
      <c r="BA868" s="458"/>
      <c r="BB868" s="457"/>
      <c r="BC868" s="1311"/>
      <c r="JV868" s="1953"/>
      <c r="KA868" s="1953"/>
      <c r="KB868" s="1953"/>
      <c r="KC868" s="1953"/>
      <c r="KD868" s="1953"/>
      <c r="KE868" s="1953"/>
      <c r="KF868" s="1953"/>
      <c r="KG868" s="1953"/>
      <c r="KH868" s="1953"/>
      <c r="KI868" s="1953"/>
      <c r="KJ868" s="1953"/>
      <c r="KK868" s="1953"/>
      <c r="KL868" s="1953"/>
      <c r="KM868" s="1953"/>
      <c r="KN868" s="1953"/>
      <c r="KO868" s="1953"/>
      <c r="KP868" s="1953"/>
      <c r="KQ868" s="1953"/>
      <c r="KR868" s="1953"/>
      <c r="KS868" s="1953"/>
      <c r="KT868" s="1953"/>
      <c r="KU868" s="1953"/>
      <c r="KV868" s="1953"/>
      <c r="KW868" s="1953"/>
      <c r="KX868" s="1953"/>
      <c r="KY868" s="1953"/>
      <c r="KZ868" s="1953"/>
      <c r="LA868" s="1953"/>
      <c r="LB868" s="1953"/>
      <c r="LC868" s="1953"/>
      <c r="LD868" s="1953"/>
      <c r="LE868" s="1953"/>
      <c r="LF868" s="1953"/>
    </row>
    <row r="869" spans="1:318" ht="12.75" customHeight="1">
      <c r="A869" s="2005"/>
      <c r="B869" s="2005"/>
      <c r="C869" s="1202"/>
      <c r="D869" s="1311"/>
      <c r="E869" s="1202" t="s">
        <v>1403</v>
      </c>
      <c r="F869" s="1202"/>
      <c r="H869" s="457" t="s">
        <v>1416</v>
      </c>
      <c r="J869" s="1993">
        <f>HJ810</f>
        <v>0</v>
      </c>
      <c r="K869" s="1993">
        <f>HK810</f>
        <v>0</v>
      </c>
      <c r="L869" s="1993">
        <f>HL810</f>
        <v>0</v>
      </c>
      <c r="M869" s="1993">
        <f>HM810</f>
        <v>0</v>
      </c>
      <c r="N869" s="1993">
        <f>HN810</f>
        <v>0</v>
      </c>
      <c r="O869" s="1993">
        <f t="shared" si="347"/>
        <v>0</v>
      </c>
      <c r="R869" s="1979">
        <f>'Part VI-Revenues &amp; Expenses'!R107</f>
        <v>0</v>
      </c>
      <c r="S869" s="1979"/>
      <c r="T869" s="1979"/>
      <c r="U869" s="1979"/>
      <c r="V869" s="1979"/>
      <c r="W869" s="1311"/>
      <c r="Z869" s="1311"/>
      <c r="AA869" s="457"/>
      <c r="AB869" s="1311"/>
      <c r="AE869" s="1311"/>
      <c r="AF869" s="457"/>
      <c r="AG869" s="1311"/>
      <c r="AJ869" s="1311"/>
      <c r="AK869" s="457"/>
      <c r="AL869" s="1311"/>
      <c r="AO869" s="1311"/>
      <c r="AP869" s="457"/>
      <c r="AQ869" s="458"/>
      <c r="AR869" s="458"/>
      <c r="AS869" s="458"/>
      <c r="AT869" s="458"/>
      <c r="AU869" s="458"/>
      <c r="AV869" s="458"/>
      <c r="BA869" s="458"/>
    </row>
    <row r="870" spans="1:318">
      <c r="A870" s="2005"/>
      <c r="B870" s="2005"/>
      <c r="C870" s="1202"/>
      <c r="D870" s="1311"/>
      <c r="E870" s="1202"/>
      <c r="F870" s="1202"/>
      <c r="H870" s="457" t="s">
        <v>300</v>
      </c>
      <c r="J870" s="1993">
        <f>HO810</f>
        <v>0</v>
      </c>
      <c r="K870" s="1993">
        <f>HP810</f>
        <v>0</v>
      </c>
      <c r="L870" s="1993">
        <f>HQ810</f>
        <v>0</v>
      </c>
      <c r="M870" s="1993">
        <f>HR810</f>
        <v>0</v>
      </c>
      <c r="N870" s="1993">
        <f>HS810</f>
        <v>0</v>
      </c>
      <c r="O870" s="1993">
        <f t="shared" si="347"/>
        <v>0</v>
      </c>
      <c r="R870" s="1979">
        <f>'Part VI-Revenues &amp; Expenses'!R108</f>
        <v>0</v>
      </c>
      <c r="S870" s="1979"/>
      <c r="T870" s="1979"/>
      <c r="U870" s="1979"/>
      <c r="V870" s="1979"/>
      <c r="W870" s="1311"/>
      <c r="Z870" s="1311"/>
      <c r="AA870" s="457"/>
      <c r="AB870" s="1311"/>
      <c r="AE870" s="1311"/>
      <c r="AF870" s="457"/>
      <c r="AG870" s="1311"/>
      <c r="AJ870" s="1311"/>
      <c r="AK870" s="457"/>
      <c r="AL870" s="1311"/>
      <c r="AO870" s="1311"/>
      <c r="AP870" s="457"/>
      <c r="AQ870" s="458"/>
      <c r="AR870" s="458"/>
      <c r="AS870" s="458"/>
      <c r="AT870" s="458"/>
      <c r="AU870" s="458"/>
      <c r="AV870" s="458"/>
      <c r="AW870" s="1051"/>
      <c r="AX870" s="1311"/>
      <c r="BA870" s="458"/>
      <c r="BB870" s="1051"/>
      <c r="BC870" s="1311"/>
      <c r="JV870" s="1953"/>
      <c r="KA870" s="1953"/>
      <c r="KB870" s="1953"/>
      <c r="KC870" s="1953"/>
      <c r="KD870" s="1953"/>
      <c r="KE870" s="1953"/>
      <c r="KF870" s="1953"/>
      <c r="KG870" s="1953"/>
      <c r="KH870" s="1953"/>
      <c r="KI870" s="1953"/>
      <c r="KJ870" s="1953"/>
      <c r="KK870" s="1953"/>
      <c r="KL870" s="1953"/>
      <c r="KM870" s="1953"/>
      <c r="KN870" s="1953"/>
      <c r="KO870" s="1953"/>
      <c r="KP870" s="1953"/>
      <c r="KQ870" s="1953"/>
      <c r="KR870" s="1953"/>
      <c r="KS870" s="1953"/>
      <c r="KT870" s="1953"/>
      <c r="KU870" s="1953"/>
      <c r="KV870" s="1953"/>
      <c r="KW870" s="1953"/>
      <c r="KX870" s="1953"/>
      <c r="KY870" s="1953"/>
      <c r="KZ870" s="1953"/>
      <c r="LA870" s="1953"/>
      <c r="LB870" s="1953"/>
      <c r="LC870" s="1953"/>
      <c r="LD870" s="1953"/>
      <c r="LE870" s="1953"/>
      <c r="LF870" s="1953"/>
    </row>
    <row r="871" spans="1:318">
      <c r="A871" s="2005"/>
      <c r="B871" s="2005"/>
      <c r="C871" s="1202"/>
      <c r="D871" s="1311"/>
      <c r="E871" s="1957"/>
      <c r="F871" s="1311"/>
      <c r="H871" s="457" t="s">
        <v>30</v>
      </c>
      <c r="J871" s="1993">
        <f>SUM(J869:J870)+HT810</f>
        <v>0</v>
      </c>
      <c r="K871" s="1993">
        <f>SUM(K869:K870)+HU810</f>
        <v>0</v>
      </c>
      <c r="L871" s="1993">
        <f>SUM(L869:L870)+HV810</f>
        <v>0</v>
      </c>
      <c r="M871" s="1993">
        <f>SUM(M869:M870)+HW810</f>
        <v>0</v>
      </c>
      <c r="N871" s="1993">
        <f>SUM(N869:N870)+HX810</f>
        <v>0</v>
      </c>
      <c r="O871" s="1993">
        <f t="shared" si="347"/>
        <v>0</v>
      </c>
      <c r="R871" s="1979">
        <f>'Part VI-Revenues &amp; Expenses'!R109</f>
        <v>0</v>
      </c>
      <c r="S871" s="1979"/>
      <c r="T871" s="1979"/>
      <c r="U871" s="1979"/>
      <c r="V871" s="1979"/>
      <c r="W871" s="1311"/>
      <c r="Z871" s="1311"/>
      <c r="AA871" s="457"/>
      <c r="AB871" s="1311"/>
      <c r="AE871" s="1311"/>
      <c r="AF871" s="457"/>
      <c r="AG871" s="1311"/>
      <c r="AJ871" s="1311"/>
      <c r="AK871" s="457"/>
      <c r="AL871" s="1311"/>
      <c r="AO871" s="1311"/>
      <c r="AP871" s="457"/>
      <c r="AQ871" s="458"/>
      <c r="AR871" s="458"/>
      <c r="AS871" s="458"/>
      <c r="AT871" s="458"/>
      <c r="AU871" s="458"/>
      <c r="AV871" s="458"/>
      <c r="AW871" s="457"/>
      <c r="AX871" s="1311"/>
      <c r="BA871" s="458"/>
      <c r="BB871" s="457"/>
      <c r="BC871" s="1311"/>
      <c r="JV871" s="1953"/>
      <c r="KA871" s="1953"/>
      <c r="KB871" s="1953"/>
      <c r="KC871" s="1953"/>
      <c r="KD871" s="1953"/>
      <c r="KE871" s="1953"/>
      <c r="KF871" s="1953"/>
      <c r="KG871" s="1953"/>
      <c r="KH871" s="1953"/>
      <c r="KI871" s="1953"/>
      <c r="KJ871" s="1953"/>
      <c r="KK871" s="1953"/>
      <c r="KL871" s="1953"/>
      <c r="KM871" s="1953"/>
      <c r="KN871" s="1953"/>
      <c r="KO871" s="1953"/>
      <c r="KP871" s="1953"/>
      <c r="KQ871" s="1953"/>
      <c r="KR871" s="1953"/>
      <c r="KS871" s="1953"/>
      <c r="KT871" s="1953"/>
      <c r="KU871" s="1953"/>
      <c r="KV871" s="1953"/>
      <c r="KW871" s="1953"/>
      <c r="KX871" s="1953"/>
      <c r="KY871" s="1953"/>
      <c r="KZ871" s="1953"/>
      <c r="LA871" s="1953"/>
      <c r="LB871" s="1953"/>
      <c r="LC871" s="1953"/>
      <c r="LD871" s="1953"/>
      <c r="LE871" s="1953"/>
      <c r="LF871" s="1953"/>
    </row>
    <row r="872" spans="1:318">
      <c r="A872" s="2005"/>
      <c r="B872" s="2005"/>
      <c r="C872" s="1202"/>
      <c r="D872" s="1311"/>
      <c r="E872" s="1957" t="s">
        <v>362</v>
      </c>
      <c r="F872" s="1311"/>
      <c r="G872" s="1786"/>
      <c r="J872" s="1993">
        <f>'Part VI-Revenues &amp; Expenses'!J110</f>
        <v>0</v>
      </c>
      <c r="K872" s="1993">
        <f>'Part VI-Revenues &amp; Expenses'!K110</f>
        <v>0</v>
      </c>
      <c r="L872" s="1993">
        <f>'Part VI-Revenues &amp; Expenses'!L110</f>
        <v>0</v>
      </c>
      <c r="M872" s="1993">
        <f>'Part VI-Revenues &amp; Expenses'!M110</f>
        <v>0</v>
      </c>
      <c r="N872" s="1993">
        <f>'Part VI-Revenues &amp; Expenses'!N110</f>
        <v>0</v>
      </c>
      <c r="O872" s="1993">
        <f t="shared" si="347"/>
        <v>0</v>
      </c>
      <c r="R872" s="1979">
        <f>'Part VI-Revenues &amp; Expenses'!R110</f>
        <v>0</v>
      </c>
      <c r="S872" s="1979"/>
      <c r="T872" s="1979"/>
      <c r="U872" s="1979"/>
      <c r="V872" s="1979"/>
      <c r="W872" s="1311"/>
      <c r="Z872" s="1311"/>
      <c r="AA872" s="457"/>
      <c r="AB872" s="1311"/>
      <c r="AE872" s="1311"/>
      <c r="AF872" s="457"/>
      <c r="AG872" s="1311"/>
      <c r="AJ872" s="1311"/>
      <c r="AK872" s="457"/>
      <c r="AL872" s="1311"/>
      <c r="AO872" s="1311"/>
      <c r="AP872" s="457"/>
      <c r="AQ872" s="458"/>
      <c r="AR872" s="458"/>
      <c r="AS872" s="458"/>
      <c r="AT872" s="458"/>
      <c r="AU872" s="458"/>
      <c r="AV872" s="458"/>
      <c r="AW872" s="1051"/>
      <c r="AX872" s="1311"/>
      <c r="BA872" s="458"/>
      <c r="BB872" s="1051"/>
      <c r="BC872" s="1311"/>
      <c r="JV872" s="1953"/>
      <c r="KA872" s="1953"/>
      <c r="KB872" s="1953"/>
      <c r="KC872" s="1953"/>
      <c r="KD872" s="1953"/>
      <c r="KE872" s="1953"/>
      <c r="KF872" s="1953"/>
      <c r="KG872" s="1953"/>
      <c r="KH872" s="1953"/>
      <c r="KI872" s="1953"/>
      <c r="KJ872" s="1953"/>
      <c r="KK872" s="1953"/>
      <c r="KL872" s="1953"/>
      <c r="KM872" s="1953"/>
      <c r="KN872" s="1953"/>
      <c r="KO872" s="1953"/>
      <c r="KP872" s="1953"/>
      <c r="KQ872" s="1953"/>
      <c r="KR872" s="1953"/>
      <c r="KS872" s="1953"/>
      <c r="KT872" s="1953"/>
      <c r="KU872" s="1953"/>
      <c r="KV872" s="1953"/>
      <c r="KW872" s="1953"/>
      <c r="KX872" s="1953"/>
      <c r="KY872" s="1953"/>
      <c r="KZ872" s="1953"/>
      <c r="LA872" s="1953"/>
      <c r="LB872" s="1953"/>
      <c r="LC872" s="1953"/>
      <c r="LD872" s="1953"/>
      <c r="LE872" s="1953"/>
      <c r="LF872" s="1953"/>
    </row>
    <row r="873" spans="1:318">
      <c r="A873" s="2007" t="str">
        <f>IF(AND('Part IV-A-Uses of Funds'!$T$165="Yes",'Part IX Scoring Criteria'!$O$420&gt;0,O873&lt;1),"SHOW HISTORIC UNITS HERE &gt;&gt;&gt;&gt;","")</f>
        <v/>
      </c>
      <c r="B873" s="2007"/>
      <c r="C873" s="2007"/>
      <c r="D873" s="2007"/>
      <c r="E873" s="1957" t="s">
        <v>4273</v>
      </c>
      <c r="F873" s="1311"/>
      <c r="G873" s="1786"/>
      <c r="J873" s="1993">
        <f>'Part VI-Revenues &amp; Expenses'!J111</f>
        <v>0</v>
      </c>
      <c r="K873" s="1993">
        <f>'Part VI-Revenues &amp; Expenses'!K111</f>
        <v>0</v>
      </c>
      <c r="L873" s="1993">
        <f>'Part VI-Revenues &amp; Expenses'!L111</f>
        <v>0</v>
      </c>
      <c r="M873" s="1993">
        <f>'Part VI-Revenues &amp; Expenses'!M111</f>
        <v>0</v>
      </c>
      <c r="N873" s="1993">
        <f>'Part VI-Revenues &amp; Expenses'!N111</f>
        <v>0</v>
      </c>
      <c r="O873" s="1993">
        <f t="shared" si="347"/>
        <v>0</v>
      </c>
      <c r="R873" s="1979">
        <f>'Part VI-Revenues &amp; Expenses'!R111</f>
        <v>0</v>
      </c>
      <c r="S873" s="1979"/>
      <c r="T873" s="1979"/>
      <c r="U873" s="1979"/>
      <c r="V873" s="1979"/>
      <c r="W873" s="1311"/>
      <c r="Z873" s="1311"/>
      <c r="AA873" s="457"/>
      <c r="AB873" s="1311"/>
      <c r="AE873" s="1311"/>
      <c r="AF873" s="457"/>
      <c r="AG873" s="1311"/>
      <c r="AJ873" s="1311"/>
      <c r="AK873" s="457"/>
      <c r="AL873" s="1311"/>
      <c r="AO873" s="1311"/>
      <c r="AP873" s="457"/>
      <c r="AQ873" s="458"/>
      <c r="AR873" s="458"/>
      <c r="AS873" s="458"/>
      <c r="AT873" s="458"/>
      <c r="AU873" s="458"/>
      <c r="AV873" s="458"/>
      <c r="AW873" s="1051"/>
      <c r="AX873" s="1311"/>
      <c r="BA873" s="458"/>
      <c r="BB873" s="1051"/>
      <c r="BC873" s="1311"/>
      <c r="JV873" s="1953"/>
      <c r="KA873" s="1953"/>
      <c r="KB873" s="1953"/>
      <c r="KC873" s="1953"/>
      <c r="KD873" s="1953"/>
      <c r="KE873" s="1953"/>
      <c r="KF873" s="1953"/>
      <c r="KG873" s="1953"/>
      <c r="KH873" s="1953"/>
      <c r="KI873" s="1953"/>
      <c r="KJ873" s="1953"/>
      <c r="KK873" s="1953"/>
      <c r="KL873" s="1953"/>
      <c r="KM873" s="1953"/>
      <c r="KN873" s="1953"/>
      <c r="KO873" s="1953"/>
      <c r="KP873" s="1953"/>
      <c r="KQ873" s="1953"/>
      <c r="KR873" s="1953"/>
      <c r="KS873" s="1953"/>
      <c r="KT873" s="1953"/>
      <c r="KU873" s="1953"/>
      <c r="KV873" s="1953"/>
      <c r="KW873" s="1953"/>
      <c r="KX873" s="1953"/>
      <c r="KY873" s="1953"/>
      <c r="KZ873" s="1953"/>
      <c r="LA873" s="1953"/>
      <c r="LB873" s="1953"/>
      <c r="LC873" s="1953"/>
      <c r="LD873" s="1953"/>
      <c r="LE873" s="1953"/>
      <c r="LF873" s="1953"/>
    </row>
    <row r="874" spans="1:318">
      <c r="A874" s="2008"/>
      <c r="B874" s="2008"/>
      <c r="C874" s="2008"/>
      <c r="D874" s="2008"/>
      <c r="E874" s="1957"/>
      <c r="F874" s="1311"/>
      <c r="G874" s="1786"/>
      <c r="J874" s="457"/>
      <c r="K874" s="457"/>
      <c r="L874" s="457"/>
      <c r="M874" s="457"/>
      <c r="N874" s="457"/>
      <c r="O874" s="457"/>
      <c r="R874" s="1979">
        <f>'Part VI-Revenues &amp; Expenses'!R112</f>
        <v>0</v>
      </c>
      <c r="S874" s="1979"/>
      <c r="T874" s="1979"/>
      <c r="U874" s="1979"/>
      <c r="V874" s="1979"/>
      <c r="W874" s="1311"/>
      <c r="Z874" s="1311"/>
      <c r="AA874" s="457"/>
      <c r="AB874" s="1311"/>
      <c r="AE874" s="1311"/>
      <c r="AF874" s="457"/>
      <c r="AG874" s="1311"/>
      <c r="AJ874" s="1311"/>
      <c r="AK874" s="457"/>
      <c r="AL874" s="1311"/>
      <c r="AO874" s="1311"/>
      <c r="AP874" s="457"/>
      <c r="AQ874" s="458"/>
      <c r="AR874" s="458"/>
      <c r="AS874" s="458"/>
      <c r="AT874" s="458"/>
      <c r="AU874" s="458"/>
      <c r="AV874" s="458"/>
      <c r="AW874" s="1051"/>
      <c r="AX874" s="1311"/>
      <c r="BA874" s="458"/>
      <c r="BB874" s="1051"/>
      <c r="BC874" s="1311"/>
      <c r="JV874" s="1953"/>
      <c r="KA874" s="1953"/>
      <c r="KB874" s="1953"/>
      <c r="KC874" s="1953"/>
      <c r="KD874" s="1953"/>
      <c r="KE874" s="1953"/>
      <c r="KF874" s="1953"/>
      <c r="KG874" s="1953"/>
      <c r="KH874" s="1953"/>
      <c r="KI874" s="1953"/>
      <c r="KJ874" s="1953"/>
      <c r="KK874" s="1953"/>
      <c r="KL874" s="1953"/>
      <c r="KM874" s="1953"/>
      <c r="KN874" s="1953"/>
      <c r="KO874" s="1953"/>
      <c r="KP874" s="1953"/>
      <c r="KQ874" s="1953"/>
      <c r="KR874" s="1953"/>
      <c r="KS874" s="1953"/>
      <c r="KT874" s="1953"/>
      <c r="KU874" s="1953"/>
      <c r="KV874" s="1953"/>
      <c r="KW874" s="1953"/>
      <c r="KX874" s="1953"/>
      <c r="KY874" s="1953"/>
      <c r="KZ874" s="1953"/>
      <c r="LA874" s="1953"/>
      <c r="LB874" s="1953"/>
      <c r="LC874" s="1953"/>
      <c r="LD874" s="1953"/>
      <c r="LE874" s="1953"/>
      <c r="LF874" s="1953"/>
    </row>
    <row r="875" spans="1:318">
      <c r="A875" s="2008"/>
      <c r="B875" s="2008"/>
      <c r="C875" s="2008"/>
      <c r="D875" s="2008"/>
      <c r="E875" s="1957" t="s">
        <v>3300</v>
      </c>
      <c r="F875" s="1311"/>
      <c r="G875" s="1786"/>
      <c r="J875" s="1993">
        <f>J879+J881+J883+J885+J887+J889+J891+J893</f>
        <v>0</v>
      </c>
      <c r="K875" s="1993">
        <f>K879+K881+K883+K885+K887+K889+K891+K893</f>
        <v>0</v>
      </c>
      <c r="L875" s="1993">
        <f>L879+L881+L883+L885+L887+L889+L891+L893</f>
        <v>0</v>
      </c>
      <c r="M875" s="1993">
        <f>M879+M881+M883+M885+M887+M889+M891+M893</f>
        <v>0</v>
      </c>
      <c r="N875" s="1993">
        <f>N879+N881+N883+N885+N887+N889+N891+N893</f>
        <v>0</v>
      </c>
      <c r="O875" s="1993">
        <f>SUM(J875:N875)</f>
        <v>0</v>
      </c>
      <c r="R875" s="1979">
        <f>'Part VI-Revenues &amp; Expenses'!R113</f>
        <v>0</v>
      </c>
      <c r="S875" s="1979"/>
      <c r="T875" s="1979"/>
      <c r="U875" s="1979"/>
      <c r="V875" s="1979"/>
      <c r="W875" s="1311"/>
      <c r="Z875" s="1311"/>
      <c r="AA875" s="457"/>
      <c r="AB875" s="1311"/>
      <c r="AE875" s="1311"/>
      <c r="AF875" s="457"/>
      <c r="AG875" s="1311"/>
      <c r="AJ875" s="1311"/>
      <c r="AK875" s="457"/>
      <c r="AL875" s="1311"/>
      <c r="AO875" s="1311"/>
      <c r="AP875" s="457"/>
      <c r="AQ875" s="458"/>
      <c r="AR875" s="458"/>
      <c r="AS875" s="458"/>
      <c r="AT875" s="458"/>
      <c r="AU875" s="458"/>
      <c r="AV875" s="458"/>
      <c r="AW875" s="1051"/>
      <c r="AX875" s="1311"/>
      <c r="BA875" s="458"/>
      <c r="BB875" s="1051"/>
      <c r="BC875" s="1311"/>
      <c r="JV875" s="1953"/>
      <c r="KA875" s="1953"/>
      <c r="KB875" s="1953"/>
      <c r="KC875" s="1953"/>
      <c r="KD875" s="1953"/>
      <c r="KE875" s="1953"/>
      <c r="KF875" s="1953"/>
      <c r="KG875" s="1953"/>
      <c r="KH875" s="1953"/>
      <c r="KI875" s="1953"/>
      <c r="KJ875" s="1953"/>
      <c r="KK875" s="1953"/>
      <c r="KL875" s="1953"/>
      <c r="KM875" s="1953"/>
      <c r="KN875" s="1953"/>
      <c r="KO875" s="1953"/>
      <c r="KP875" s="1953"/>
      <c r="KQ875" s="1953"/>
      <c r="KR875" s="1953"/>
      <c r="KS875" s="1953"/>
      <c r="KT875" s="1953"/>
      <c r="KU875" s="1953"/>
      <c r="KV875" s="1953"/>
      <c r="KW875" s="1953"/>
      <c r="KX875" s="1953"/>
      <c r="KY875" s="1953"/>
      <c r="KZ875" s="1953"/>
      <c r="LA875" s="1953"/>
      <c r="LB875" s="1953"/>
      <c r="LC875" s="1953"/>
      <c r="LD875" s="1953"/>
      <c r="LE875" s="1953"/>
      <c r="LF875" s="1953"/>
    </row>
    <row r="876" spans="1:318" ht="13.8">
      <c r="D876" s="1311"/>
      <c r="E876" s="1957"/>
      <c r="F876" s="1311"/>
      <c r="G876" s="1786"/>
      <c r="J876" s="1999"/>
      <c r="K876" s="1999"/>
      <c r="L876" s="1999"/>
      <c r="M876" s="1999"/>
      <c r="N876" s="1999"/>
      <c r="O876" s="1999"/>
      <c r="R876" s="1792" t="str">
        <f>C877</f>
        <v>Building Type: (for Utility Allowance, Monitoring Fees and other purposes)</v>
      </c>
      <c r="T876" s="1956"/>
      <c r="W876" s="1311"/>
      <c r="Z876" s="1311"/>
      <c r="AA876" s="457"/>
      <c r="AB876" s="1311"/>
      <c r="AE876" s="1311"/>
      <c r="AF876" s="457"/>
      <c r="AG876" s="1311"/>
      <c r="AJ876" s="1311"/>
      <c r="AK876" s="457"/>
      <c r="AL876" s="1311"/>
      <c r="AO876" s="1311"/>
      <c r="AP876" s="457"/>
      <c r="AQ876" s="1311"/>
      <c r="AR876" s="1311"/>
      <c r="AS876" s="1311"/>
      <c r="AT876" s="1311"/>
      <c r="AU876" s="1311"/>
      <c r="AV876" s="1311"/>
      <c r="AX876" s="1311"/>
      <c r="BA876" s="1311"/>
      <c r="BC876" s="1311"/>
      <c r="JV876" s="1953"/>
      <c r="KA876" s="1953"/>
      <c r="KB876" s="1953"/>
      <c r="KC876" s="1953"/>
      <c r="KD876" s="1953"/>
      <c r="KE876" s="1953"/>
      <c r="KF876" s="1953"/>
      <c r="KG876" s="1953"/>
      <c r="KH876" s="1953"/>
      <c r="KI876" s="1953"/>
      <c r="KJ876" s="1953"/>
      <c r="KK876" s="1953"/>
      <c r="KL876" s="1953"/>
      <c r="KM876" s="1953"/>
      <c r="KN876" s="1953"/>
      <c r="KO876" s="1953"/>
      <c r="KP876" s="1953"/>
      <c r="KQ876" s="1953"/>
      <c r="KR876" s="1953"/>
      <c r="KS876" s="1953"/>
      <c r="KT876" s="1953"/>
      <c r="KU876" s="1953"/>
      <c r="KV876" s="1953"/>
      <c r="KW876" s="1953"/>
      <c r="KX876" s="1953"/>
      <c r="KY876" s="1953"/>
      <c r="KZ876" s="1953"/>
      <c r="LA876" s="1953"/>
      <c r="LB876" s="1953"/>
      <c r="LC876" s="1953"/>
      <c r="LD876" s="1953"/>
      <c r="LE876" s="1953"/>
      <c r="LF876" s="1953"/>
    </row>
    <row r="877" spans="1:318" ht="12.75" customHeight="1">
      <c r="C877" s="1979" t="s">
        <v>5048</v>
      </c>
      <c r="D877" s="1979"/>
      <c r="E877" s="1957" t="s">
        <v>37</v>
      </c>
      <c r="F877" s="1311"/>
      <c r="G877" s="1786"/>
      <c r="J877" s="1993">
        <f t="shared" ref="J877:O877" si="348">SUM(J878:J885)</f>
        <v>0</v>
      </c>
      <c r="K877" s="1993">
        <f t="shared" si="348"/>
        <v>32</v>
      </c>
      <c r="L877" s="1993">
        <f t="shared" si="348"/>
        <v>42</v>
      </c>
      <c r="M877" s="1993">
        <f t="shared" si="348"/>
        <v>10</v>
      </c>
      <c r="N877" s="1993">
        <f t="shared" si="348"/>
        <v>0</v>
      </c>
      <c r="O877" s="1993">
        <f t="shared" si="348"/>
        <v>84</v>
      </c>
      <c r="R877" s="1979">
        <f>'Part VI-Revenues &amp; Expenses'!R115</f>
        <v>0</v>
      </c>
      <c r="S877" s="1979"/>
      <c r="T877" s="1979"/>
      <c r="U877" s="1979"/>
      <c r="V877" s="1979"/>
      <c r="W877" s="1311"/>
      <c r="Z877" s="1311"/>
      <c r="AA877" s="457"/>
      <c r="AB877" s="1311"/>
      <c r="AE877" s="1311"/>
      <c r="AF877" s="457"/>
      <c r="AG877" s="1311"/>
      <c r="AJ877" s="1311"/>
      <c r="AK877" s="457"/>
      <c r="AL877" s="1311"/>
      <c r="AO877" s="1311"/>
      <c r="AP877" s="457"/>
      <c r="AQ877" s="458"/>
      <c r="AR877" s="458"/>
      <c r="AS877" s="458"/>
      <c r="AT877" s="458"/>
      <c r="AU877" s="458"/>
      <c r="AV877" s="458"/>
      <c r="BA877" s="458"/>
    </row>
    <row r="878" spans="1:318">
      <c r="C878" s="1979"/>
      <c r="D878" s="1979"/>
      <c r="E878" s="1957"/>
      <c r="F878" s="1311"/>
      <c r="H878" s="2009" t="s">
        <v>2570</v>
      </c>
      <c r="J878" s="1993">
        <f>JR810</f>
        <v>0</v>
      </c>
      <c r="K878" s="1993">
        <f>JS810</f>
        <v>0</v>
      </c>
      <c r="L878" s="1993">
        <f>JT810</f>
        <v>0</v>
      </c>
      <c r="M878" s="1993">
        <f>JU810</f>
        <v>0</v>
      </c>
      <c r="N878" s="1993">
        <f>JV810</f>
        <v>0</v>
      </c>
      <c r="O878" s="1993">
        <f t="shared" ref="O878:O893" si="349">SUM(J878:N878)</f>
        <v>0</v>
      </c>
      <c r="R878" s="1979">
        <f>'Part VI-Revenues &amp; Expenses'!R116</f>
        <v>0</v>
      </c>
      <c r="S878" s="1979"/>
      <c r="T878" s="1979"/>
      <c r="U878" s="1979"/>
      <c r="V878" s="1979"/>
      <c r="W878" s="1311"/>
      <c r="Z878" s="1311"/>
      <c r="AA878" s="457"/>
      <c r="AB878" s="1311"/>
      <c r="AE878" s="1311"/>
      <c r="AF878" s="457"/>
      <c r="AG878" s="1311"/>
      <c r="AJ878" s="1311"/>
      <c r="AK878" s="457"/>
      <c r="AL878" s="1311"/>
      <c r="AO878" s="1311"/>
      <c r="AP878" s="457"/>
      <c r="AQ878" s="458"/>
      <c r="AR878" s="458"/>
      <c r="AS878" s="458"/>
      <c r="AT878" s="458"/>
      <c r="AU878" s="458"/>
      <c r="AV878" s="458"/>
      <c r="BA878" s="458"/>
    </row>
    <row r="879" spans="1:318">
      <c r="C879" s="1979"/>
      <c r="D879" s="1979"/>
      <c r="E879" s="1957"/>
      <c r="F879" s="1311"/>
      <c r="H879" s="2010" t="s">
        <v>3300</v>
      </c>
      <c r="J879" s="1993">
        <f>JW810</f>
        <v>0</v>
      </c>
      <c r="K879" s="1993">
        <f>JX810</f>
        <v>0</v>
      </c>
      <c r="L879" s="1993">
        <f>JY810</f>
        <v>0</v>
      </c>
      <c r="M879" s="1993">
        <f>JZ810</f>
        <v>0</v>
      </c>
      <c r="N879" s="1993">
        <f>KA810</f>
        <v>0</v>
      </c>
      <c r="O879" s="1993">
        <f t="shared" si="349"/>
        <v>0</v>
      </c>
      <c r="R879" s="1979">
        <f>'Part VI-Revenues &amp; Expenses'!R117</f>
        <v>0</v>
      </c>
      <c r="S879" s="1979"/>
      <c r="T879" s="1979"/>
      <c r="U879" s="1979"/>
      <c r="V879" s="1979"/>
      <c r="W879" s="1311"/>
      <c r="Z879" s="1311"/>
      <c r="AA879" s="457"/>
      <c r="AB879" s="1311"/>
      <c r="AE879" s="1311"/>
      <c r="AF879" s="457"/>
      <c r="AG879" s="1311"/>
      <c r="AJ879" s="1311"/>
      <c r="AK879" s="457"/>
      <c r="AL879" s="1311"/>
      <c r="AO879" s="1311"/>
      <c r="AP879" s="457"/>
      <c r="AQ879" s="458"/>
      <c r="AR879" s="458"/>
      <c r="AS879" s="458"/>
      <c r="AT879" s="458"/>
      <c r="AU879" s="458"/>
      <c r="AV879" s="458"/>
      <c r="BA879" s="458"/>
    </row>
    <row r="880" spans="1:318">
      <c r="C880" s="1979"/>
      <c r="D880" s="1979"/>
      <c r="E880" s="1957"/>
      <c r="F880" s="1311"/>
      <c r="H880" s="2009" t="s">
        <v>2571</v>
      </c>
      <c r="J880" s="1993">
        <f>KB810</f>
        <v>0</v>
      </c>
      <c r="K880" s="1993">
        <f>KC810</f>
        <v>0</v>
      </c>
      <c r="L880" s="1993">
        <f>KD810</f>
        <v>0</v>
      </c>
      <c r="M880" s="1993">
        <f>KE810</f>
        <v>0</v>
      </c>
      <c r="N880" s="1993">
        <f>KF810</f>
        <v>0</v>
      </c>
      <c r="O880" s="1993">
        <f t="shared" si="349"/>
        <v>0</v>
      </c>
      <c r="R880" s="1979">
        <f>'Part VI-Revenues &amp; Expenses'!R118</f>
        <v>0</v>
      </c>
      <c r="S880" s="1979"/>
      <c r="T880" s="1979"/>
      <c r="U880" s="1979"/>
      <c r="V880" s="1979"/>
      <c r="W880" s="1311"/>
      <c r="Z880" s="1311"/>
      <c r="AA880" s="457"/>
      <c r="AB880" s="1311"/>
      <c r="AE880" s="1311"/>
      <c r="AF880" s="457"/>
      <c r="AG880" s="1311"/>
      <c r="AJ880" s="1311"/>
      <c r="AK880" s="457"/>
      <c r="AL880" s="1311"/>
      <c r="AO880" s="1311"/>
      <c r="AP880" s="457"/>
      <c r="AQ880" s="458"/>
      <c r="AR880" s="458"/>
      <c r="AS880" s="458"/>
      <c r="AT880" s="458"/>
      <c r="AU880" s="458"/>
      <c r="AV880" s="458"/>
      <c r="BA880" s="458"/>
    </row>
    <row r="881" spans="1:318">
      <c r="C881" s="1979"/>
      <c r="D881" s="1979"/>
      <c r="E881" s="1957"/>
      <c r="F881" s="1311"/>
      <c r="H881" s="2010" t="s">
        <v>3300</v>
      </c>
      <c r="J881" s="1993">
        <f>KG810</f>
        <v>0</v>
      </c>
      <c r="K881" s="1993">
        <f>KH810</f>
        <v>0</v>
      </c>
      <c r="L881" s="1993">
        <f>KI810</f>
        <v>0</v>
      </c>
      <c r="M881" s="1993">
        <f>KJ810</f>
        <v>0</v>
      </c>
      <c r="N881" s="1993">
        <f>KK810</f>
        <v>0</v>
      </c>
      <c r="O881" s="1993">
        <f t="shared" si="349"/>
        <v>0</v>
      </c>
      <c r="R881" s="1979">
        <f>'Part VI-Revenues &amp; Expenses'!R119</f>
        <v>0</v>
      </c>
      <c r="S881" s="1979"/>
      <c r="T881" s="1979"/>
      <c r="U881" s="1979"/>
      <c r="V881" s="1979"/>
      <c r="W881" s="1311"/>
      <c r="Z881" s="1311"/>
      <c r="AA881" s="457"/>
      <c r="AB881" s="1311"/>
      <c r="AE881" s="1311"/>
      <c r="AF881" s="457"/>
      <c r="AG881" s="1311"/>
      <c r="AJ881" s="1311"/>
      <c r="AK881" s="457"/>
      <c r="AL881" s="1311"/>
      <c r="AO881" s="1311"/>
      <c r="AP881" s="457"/>
      <c r="AQ881" s="458"/>
      <c r="AR881" s="458"/>
      <c r="AS881" s="458"/>
      <c r="AT881" s="458"/>
      <c r="AU881" s="458"/>
      <c r="AV881" s="458"/>
      <c r="BA881" s="458"/>
    </row>
    <row r="882" spans="1:318">
      <c r="C882" s="1979"/>
      <c r="D882" s="1979"/>
      <c r="E882" s="1957"/>
      <c r="F882" s="1311"/>
      <c r="H882" s="2009" t="s">
        <v>2573</v>
      </c>
      <c r="J882" s="1993">
        <f>KL810</f>
        <v>0</v>
      </c>
      <c r="K882" s="1993">
        <f>KM810</f>
        <v>32</v>
      </c>
      <c r="L882" s="1993">
        <f>KN810</f>
        <v>42</v>
      </c>
      <c r="M882" s="1993">
        <f>KO810</f>
        <v>10</v>
      </c>
      <c r="N882" s="1993">
        <f>KP810</f>
        <v>0</v>
      </c>
      <c r="O882" s="1993">
        <f t="shared" si="349"/>
        <v>84</v>
      </c>
      <c r="R882" s="1979">
        <f>'Part VI-Revenues &amp; Expenses'!R120</f>
        <v>0</v>
      </c>
      <c r="S882" s="1979"/>
      <c r="T882" s="1979"/>
      <c r="U882" s="1979"/>
      <c r="V882" s="1979"/>
      <c r="W882" s="1311"/>
      <c r="Z882" s="1311"/>
      <c r="AA882" s="457"/>
      <c r="AB882" s="1311"/>
      <c r="AE882" s="1311"/>
      <c r="AF882" s="457"/>
      <c r="AG882" s="1311"/>
      <c r="AJ882" s="1311"/>
      <c r="AK882" s="457"/>
      <c r="AL882" s="1311"/>
      <c r="AO882" s="1311"/>
      <c r="AP882" s="457"/>
      <c r="AQ882" s="458"/>
      <c r="AR882" s="458"/>
      <c r="AS882" s="458"/>
      <c r="AT882" s="458"/>
      <c r="AU882" s="458"/>
      <c r="AV882" s="458"/>
      <c r="BA882" s="458"/>
    </row>
    <row r="883" spans="1:318">
      <c r="C883" s="1979"/>
      <c r="D883" s="1979"/>
      <c r="E883" s="1957"/>
      <c r="F883" s="1311"/>
      <c r="H883" s="2010" t="s">
        <v>3300</v>
      </c>
      <c r="J883" s="1993">
        <f>KQ810</f>
        <v>0</v>
      </c>
      <c r="K883" s="1993">
        <f>KR810</f>
        <v>0</v>
      </c>
      <c r="L883" s="1993">
        <f>KS810</f>
        <v>0</v>
      </c>
      <c r="M883" s="1993">
        <f>KT810</f>
        <v>0</v>
      </c>
      <c r="N883" s="1993">
        <f>KU810</f>
        <v>0</v>
      </c>
      <c r="O883" s="1993">
        <f t="shared" si="349"/>
        <v>0</v>
      </c>
      <c r="R883" s="1979">
        <f>'Part VI-Revenues &amp; Expenses'!R121</f>
        <v>0</v>
      </c>
      <c r="S883" s="1979"/>
      <c r="T883" s="1979"/>
      <c r="U883" s="1979"/>
      <c r="V883" s="1979"/>
      <c r="W883" s="1311"/>
      <c r="Z883" s="1311"/>
      <c r="AA883" s="457"/>
      <c r="AB883" s="1311"/>
      <c r="AE883" s="1311"/>
      <c r="AF883" s="457"/>
      <c r="AG883" s="1311"/>
      <c r="AJ883" s="1311"/>
      <c r="AK883" s="457"/>
      <c r="AL883" s="1311"/>
      <c r="AO883" s="1311"/>
      <c r="AP883" s="457"/>
      <c r="AQ883" s="458"/>
      <c r="AR883" s="458"/>
      <c r="AS883" s="458"/>
      <c r="AT883" s="458"/>
      <c r="AU883" s="458"/>
      <c r="AV883" s="458"/>
      <c r="BA883" s="458"/>
    </row>
    <row r="884" spans="1:318">
      <c r="C884" s="1979"/>
      <c r="D884" s="1979"/>
      <c r="E884" s="1957"/>
      <c r="F884" s="1311"/>
      <c r="H884" s="2009" t="s">
        <v>2572</v>
      </c>
      <c r="J884" s="1993">
        <f>KV810</f>
        <v>0</v>
      </c>
      <c r="K884" s="1993">
        <f>KW810</f>
        <v>0</v>
      </c>
      <c r="L884" s="1993">
        <f>KX810</f>
        <v>0</v>
      </c>
      <c r="M884" s="1993">
        <f>KY810</f>
        <v>0</v>
      </c>
      <c r="N884" s="1993">
        <f>KZ810</f>
        <v>0</v>
      </c>
      <c r="O884" s="1993">
        <f t="shared" si="349"/>
        <v>0</v>
      </c>
      <c r="R884" s="1979">
        <f>'Part VI-Revenues &amp; Expenses'!R122</f>
        <v>0</v>
      </c>
      <c r="S884" s="1979"/>
      <c r="T884" s="1979"/>
      <c r="U884" s="1979"/>
      <c r="V884" s="1979"/>
      <c r="W884" s="1311"/>
      <c r="Z884" s="1311"/>
      <c r="AA884" s="457"/>
      <c r="AB884" s="1311"/>
      <c r="AE884" s="1311"/>
      <c r="AF884" s="457"/>
      <c r="AG884" s="1311"/>
      <c r="AJ884" s="1311"/>
      <c r="AK884" s="457"/>
      <c r="AL884" s="1311"/>
      <c r="AO884" s="1311"/>
      <c r="AP884" s="457"/>
      <c r="AQ884" s="458"/>
      <c r="AR884" s="458"/>
      <c r="AS884" s="458"/>
      <c r="AT884" s="458"/>
      <c r="AU884" s="458"/>
      <c r="AV884" s="458"/>
      <c r="BA884" s="458"/>
    </row>
    <row r="885" spans="1:318">
      <c r="C885" s="1979"/>
      <c r="D885" s="1979"/>
      <c r="E885" s="1957"/>
      <c r="F885" s="1311"/>
      <c r="H885" s="2010" t="s">
        <v>3300</v>
      </c>
      <c r="J885" s="1993">
        <f>LA810</f>
        <v>0</v>
      </c>
      <c r="K885" s="1993">
        <f>LB810</f>
        <v>0</v>
      </c>
      <c r="L885" s="1993">
        <f>LC810</f>
        <v>0</v>
      </c>
      <c r="M885" s="1993">
        <f>LD810</f>
        <v>0</v>
      </c>
      <c r="N885" s="1993">
        <f>LE810</f>
        <v>0</v>
      </c>
      <c r="O885" s="1993">
        <f t="shared" si="349"/>
        <v>0</v>
      </c>
      <c r="R885" s="1979">
        <f>'Part VI-Revenues &amp; Expenses'!R123</f>
        <v>0</v>
      </c>
      <c r="S885" s="1979"/>
      <c r="T885" s="1979"/>
      <c r="U885" s="1979"/>
      <c r="V885" s="1979"/>
      <c r="W885" s="1311"/>
      <c r="Z885" s="1311"/>
      <c r="AA885" s="457"/>
      <c r="AB885" s="1311"/>
      <c r="AE885" s="1311"/>
      <c r="AF885" s="457"/>
      <c r="AG885" s="1311"/>
      <c r="AJ885" s="1311"/>
      <c r="AK885" s="457"/>
      <c r="AL885" s="1311"/>
      <c r="AO885" s="1311"/>
      <c r="AP885" s="457"/>
      <c r="AQ885" s="458"/>
      <c r="AR885" s="458"/>
      <c r="AS885" s="458"/>
      <c r="AT885" s="458"/>
      <c r="AU885" s="458"/>
      <c r="AV885" s="458"/>
      <c r="BA885" s="458"/>
    </row>
    <row r="886" spans="1:318">
      <c r="E886" s="1957" t="s">
        <v>38</v>
      </c>
      <c r="F886" s="1311"/>
      <c r="H886" s="2009"/>
      <c r="J886" s="1993">
        <f>ID810</f>
        <v>0</v>
      </c>
      <c r="K886" s="1993">
        <f>IE810</f>
        <v>0</v>
      </c>
      <c r="L886" s="1993">
        <f>IF810</f>
        <v>0</v>
      </c>
      <c r="M886" s="1993">
        <f>IG810</f>
        <v>0</v>
      </c>
      <c r="N886" s="1993">
        <f>IH810</f>
        <v>0</v>
      </c>
      <c r="O886" s="1993">
        <f t="shared" si="349"/>
        <v>0</v>
      </c>
      <c r="R886" s="1979">
        <f>'Part VI-Revenues &amp; Expenses'!R124</f>
        <v>0</v>
      </c>
      <c r="S886" s="1979"/>
      <c r="T886" s="1979"/>
      <c r="U886" s="1979"/>
      <c r="V886" s="1979"/>
      <c r="W886" s="1311"/>
      <c r="Z886" s="1311"/>
      <c r="AA886" s="457"/>
      <c r="AB886" s="1311"/>
      <c r="AE886" s="1311"/>
      <c r="AF886" s="457"/>
      <c r="AG886" s="1311"/>
      <c r="AJ886" s="1311"/>
      <c r="AK886" s="457"/>
      <c r="AL886" s="1311"/>
      <c r="AO886" s="1311"/>
      <c r="AP886" s="457"/>
      <c r="AQ886" s="458"/>
      <c r="AR886" s="458"/>
      <c r="AS886" s="458"/>
      <c r="AT886" s="458"/>
      <c r="AU886" s="458"/>
      <c r="AV886" s="458"/>
      <c r="AW886" s="1051"/>
      <c r="AX886" s="1311"/>
      <c r="BA886" s="458"/>
      <c r="BB886" s="1051"/>
      <c r="BC886" s="1311"/>
      <c r="JV886" s="1953"/>
      <c r="KA886" s="1953"/>
      <c r="KB886" s="1953"/>
      <c r="KC886" s="1953"/>
      <c r="KD886" s="1953"/>
      <c r="KE886" s="1953"/>
      <c r="KF886" s="1953"/>
      <c r="KG886" s="1953"/>
      <c r="KH886" s="1953"/>
      <c r="KI886" s="1953"/>
      <c r="KJ886" s="1953"/>
      <c r="KK886" s="1953"/>
      <c r="KL886" s="1953"/>
      <c r="KM886" s="1953"/>
      <c r="KN886" s="1953"/>
      <c r="KO886" s="1953"/>
      <c r="KP886" s="1953"/>
      <c r="KQ886" s="1953"/>
      <c r="KR886" s="1953"/>
      <c r="KS886" s="1953"/>
      <c r="KT886" s="1953"/>
      <c r="KU886" s="1953"/>
      <c r="KV886" s="1953"/>
      <c r="KW886" s="1953"/>
      <c r="KX886" s="1953"/>
      <c r="KY886" s="1953"/>
      <c r="KZ886" s="1953"/>
      <c r="LA886" s="1953"/>
      <c r="LB886" s="1953"/>
      <c r="LC886" s="1953"/>
      <c r="LD886" s="1953"/>
      <c r="LE886" s="1953"/>
      <c r="LF886" s="1953"/>
    </row>
    <row r="887" spans="1:318">
      <c r="E887" s="1957"/>
      <c r="F887" s="1311"/>
      <c r="H887" s="2010" t="s">
        <v>3300</v>
      </c>
      <c r="J887" s="1993">
        <f>II810</f>
        <v>0</v>
      </c>
      <c r="K887" s="1993">
        <f>IJ810</f>
        <v>0</v>
      </c>
      <c r="L887" s="1993">
        <f>IK810</f>
        <v>0</v>
      </c>
      <c r="M887" s="1993">
        <f>IL810</f>
        <v>0</v>
      </c>
      <c r="N887" s="1993">
        <f>IM810</f>
        <v>0</v>
      </c>
      <c r="O887" s="1993">
        <f t="shared" si="349"/>
        <v>0</v>
      </c>
      <c r="R887" s="1979">
        <f>'Part VI-Revenues &amp; Expenses'!R125</f>
        <v>0</v>
      </c>
      <c r="S887" s="1979"/>
      <c r="T887" s="1979"/>
      <c r="U887" s="1979"/>
      <c r="V887" s="1979"/>
      <c r="W887" s="1311"/>
      <c r="Z887" s="1311"/>
      <c r="AA887" s="457"/>
      <c r="AB887" s="1311"/>
      <c r="AE887" s="1311"/>
      <c r="AF887" s="457"/>
      <c r="AG887" s="1311"/>
      <c r="AJ887" s="1311"/>
      <c r="AK887" s="457"/>
      <c r="AL887" s="1311"/>
      <c r="AO887" s="1311"/>
      <c r="AP887" s="457"/>
      <c r="AQ887" s="458"/>
      <c r="AR887" s="458"/>
      <c r="AS887" s="458"/>
      <c r="AT887" s="458"/>
      <c r="AU887" s="458"/>
      <c r="AV887" s="458"/>
      <c r="AW887" s="1051"/>
      <c r="AX887" s="1311"/>
      <c r="BA887" s="458"/>
      <c r="BB887" s="1051"/>
      <c r="BC887" s="1311"/>
      <c r="JV887" s="1953"/>
      <c r="KA887" s="1953"/>
      <c r="KB887" s="1953"/>
      <c r="KC887" s="1953"/>
      <c r="KD887" s="1953"/>
      <c r="KE887" s="1953"/>
      <c r="KF887" s="1953"/>
      <c r="KG887" s="1953"/>
      <c r="KH887" s="1953"/>
      <c r="KI887" s="1953"/>
      <c r="KJ887" s="1953"/>
      <c r="KK887" s="1953"/>
      <c r="KL887" s="1953"/>
      <c r="KM887" s="1953"/>
      <c r="KN887" s="1953"/>
      <c r="KO887" s="1953"/>
      <c r="KP887" s="1953"/>
      <c r="KQ887" s="1953"/>
      <c r="KR887" s="1953"/>
      <c r="KS887" s="1953"/>
      <c r="KT887" s="1953"/>
      <c r="KU887" s="1953"/>
      <c r="KV887" s="1953"/>
      <c r="KW887" s="1953"/>
      <c r="KX887" s="1953"/>
      <c r="KY887" s="1953"/>
      <c r="KZ887" s="1953"/>
      <c r="LA887" s="1953"/>
      <c r="LB887" s="1953"/>
      <c r="LC887" s="1953"/>
      <c r="LD887" s="1953"/>
      <c r="LE887" s="1953"/>
      <c r="LF887" s="1953"/>
    </row>
    <row r="888" spans="1:318">
      <c r="C888" s="1311"/>
      <c r="D888" s="1311"/>
      <c r="E888" s="1957" t="s">
        <v>39</v>
      </c>
      <c r="F888" s="1311"/>
      <c r="H888" s="2009"/>
      <c r="J888" s="1993">
        <f>JH810</f>
        <v>0</v>
      </c>
      <c r="K888" s="1993">
        <f>JI810</f>
        <v>0</v>
      </c>
      <c r="L888" s="1993">
        <f>JJ810</f>
        <v>0</v>
      </c>
      <c r="M888" s="1993">
        <f>JK810</f>
        <v>0</v>
      </c>
      <c r="N888" s="1993">
        <f>JL810</f>
        <v>0</v>
      </c>
      <c r="O888" s="1993">
        <f t="shared" si="349"/>
        <v>0</v>
      </c>
      <c r="R888" s="1979">
        <f>'Part VI-Revenues &amp; Expenses'!R126</f>
        <v>0</v>
      </c>
      <c r="S888" s="1979"/>
      <c r="T888" s="1979"/>
      <c r="U888" s="1979"/>
      <c r="V888" s="1979"/>
      <c r="W888" s="1311"/>
      <c r="Z888" s="1311"/>
      <c r="AA888" s="457"/>
      <c r="AB888" s="1311"/>
      <c r="AE888" s="1311"/>
      <c r="AF888" s="457"/>
      <c r="AG888" s="1311"/>
      <c r="AJ888" s="1311"/>
      <c r="AK888" s="457"/>
      <c r="AL888" s="1311"/>
      <c r="AO888" s="1311"/>
      <c r="AP888" s="457"/>
      <c r="AQ888" s="458"/>
      <c r="AR888" s="458"/>
      <c r="AS888" s="458"/>
      <c r="AT888" s="458"/>
      <c r="AU888" s="458"/>
      <c r="AV888" s="458"/>
      <c r="BA888" s="458"/>
    </row>
    <row r="889" spans="1:318">
      <c r="C889" s="1311"/>
      <c r="D889" s="1311"/>
      <c r="E889" s="1957"/>
      <c r="F889" s="1311"/>
      <c r="H889" s="2010" t="s">
        <v>3300</v>
      </c>
      <c r="J889" s="1993">
        <f>JM810</f>
        <v>0</v>
      </c>
      <c r="K889" s="1993">
        <f>JN810</f>
        <v>0</v>
      </c>
      <c r="L889" s="1993">
        <f>JO810</f>
        <v>0</v>
      </c>
      <c r="M889" s="1993">
        <f>JP810</f>
        <v>0</v>
      </c>
      <c r="N889" s="1993">
        <f>JQ810</f>
        <v>0</v>
      </c>
      <c r="O889" s="1993">
        <f t="shared" si="349"/>
        <v>0</v>
      </c>
      <c r="R889" s="1979">
        <f>'Part VI-Revenues &amp; Expenses'!R127</f>
        <v>0</v>
      </c>
      <c r="S889" s="1979"/>
      <c r="T889" s="1979"/>
      <c r="U889" s="1979"/>
      <c r="V889" s="1979"/>
      <c r="W889" s="1311"/>
      <c r="Z889" s="1311"/>
      <c r="AA889" s="457"/>
      <c r="AB889" s="1311"/>
      <c r="AE889" s="1311"/>
      <c r="AF889" s="457"/>
      <c r="AG889" s="1311"/>
      <c r="AJ889" s="1311"/>
      <c r="AK889" s="457"/>
      <c r="AL889" s="1311"/>
      <c r="AO889" s="1311"/>
      <c r="AP889" s="457"/>
      <c r="AQ889" s="458"/>
      <c r="AR889" s="458"/>
      <c r="AS889" s="458"/>
      <c r="AT889" s="458"/>
      <c r="AU889" s="458"/>
      <c r="AV889" s="458"/>
      <c r="BA889" s="458"/>
    </row>
    <row r="890" spans="1:318">
      <c r="C890" s="1311"/>
      <c r="D890" s="1311"/>
      <c r="E890" s="1957" t="s">
        <v>555</v>
      </c>
      <c r="F890" s="1311"/>
      <c r="H890" s="2009"/>
      <c r="J890" s="1993">
        <f>IX810</f>
        <v>0</v>
      </c>
      <c r="K890" s="1993">
        <f>IY810</f>
        <v>0</v>
      </c>
      <c r="L890" s="1993">
        <f>IZ810</f>
        <v>0</v>
      </c>
      <c r="M890" s="1993">
        <f>JA810</f>
        <v>0</v>
      </c>
      <c r="N890" s="1993">
        <f>JB810</f>
        <v>0</v>
      </c>
      <c r="O890" s="1993">
        <f t="shared" si="349"/>
        <v>0</v>
      </c>
      <c r="R890" s="1979">
        <f>'Part VI-Revenues &amp; Expenses'!R128</f>
        <v>0</v>
      </c>
      <c r="S890" s="1979"/>
      <c r="T890" s="1979"/>
      <c r="U890" s="1979"/>
      <c r="V890" s="1979"/>
      <c r="W890" s="1311"/>
      <c r="Z890" s="1311"/>
      <c r="AA890" s="457"/>
      <c r="AB890" s="1311"/>
      <c r="AE890" s="1311"/>
      <c r="AF890" s="457"/>
      <c r="AG890" s="1311"/>
      <c r="AJ890" s="1311"/>
      <c r="AK890" s="457"/>
      <c r="AL890" s="1311"/>
      <c r="AO890" s="1311"/>
      <c r="AP890" s="457"/>
      <c r="AQ890" s="458"/>
      <c r="AR890" s="458"/>
      <c r="AS890" s="458"/>
      <c r="AT890" s="458"/>
      <c r="AU890" s="458"/>
      <c r="AV890" s="458"/>
      <c r="AW890" s="1051"/>
      <c r="AX890" s="1311"/>
      <c r="BA890" s="458"/>
      <c r="BB890" s="1051"/>
      <c r="BC890" s="1311"/>
      <c r="JV890" s="1953"/>
      <c r="KA890" s="1953"/>
      <c r="KB890" s="1953"/>
      <c r="KC890" s="1953"/>
      <c r="KD890" s="1953"/>
      <c r="KE890" s="1953"/>
      <c r="KF890" s="1953"/>
      <c r="KG890" s="1953"/>
      <c r="KH890" s="1953"/>
      <c r="KI890" s="1953"/>
      <c r="KJ890" s="1953"/>
      <c r="KK890" s="1953"/>
      <c r="KL890" s="1953"/>
      <c r="KM890" s="1953"/>
      <c r="KN890" s="1953"/>
      <c r="KO890" s="1953"/>
      <c r="KP890" s="1953"/>
      <c r="KQ890" s="1953"/>
      <c r="KR890" s="1953"/>
      <c r="KS890" s="1953"/>
      <c r="KT890" s="1953"/>
      <c r="KU890" s="1953"/>
      <c r="KV890" s="1953"/>
      <c r="KW890" s="1953"/>
      <c r="KX890" s="1953"/>
      <c r="KY890" s="1953"/>
      <c r="KZ890" s="1953"/>
      <c r="LA890" s="1953"/>
      <c r="LB890" s="1953"/>
      <c r="LC890" s="1953"/>
      <c r="LD890" s="1953"/>
      <c r="LE890" s="1953"/>
      <c r="LF890" s="1953"/>
    </row>
    <row r="891" spans="1:318">
      <c r="C891" s="1311"/>
      <c r="D891" s="1311"/>
      <c r="E891" s="1957"/>
      <c r="F891" s="1311"/>
      <c r="H891" s="2010" t="s">
        <v>3300</v>
      </c>
      <c r="J891" s="1993">
        <f>JC810</f>
        <v>0</v>
      </c>
      <c r="K891" s="1993">
        <f>JD810</f>
        <v>0</v>
      </c>
      <c r="L891" s="1993">
        <f>JE810</f>
        <v>0</v>
      </c>
      <c r="M891" s="1993">
        <f>JF810</f>
        <v>0</v>
      </c>
      <c r="N891" s="1993">
        <f>JG810</f>
        <v>0</v>
      </c>
      <c r="O891" s="1993">
        <f t="shared" si="349"/>
        <v>0</v>
      </c>
      <c r="R891" s="1979">
        <f>'Part VI-Revenues &amp; Expenses'!R129</f>
        <v>0</v>
      </c>
      <c r="S891" s="1979"/>
      <c r="T891" s="1979"/>
      <c r="U891" s="1979"/>
      <c r="V891" s="1979"/>
      <c r="W891" s="1311"/>
      <c r="Z891" s="1311"/>
      <c r="AA891" s="457"/>
      <c r="AB891" s="1311"/>
      <c r="AE891" s="1311"/>
      <c r="AF891" s="457"/>
      <c r="AG891" s="1311"/>
      <c r="AJ891" s="1311"/>
      <c r="AK891" s="457"/>
      <c r="AL891" s="1311"/>
      <c r="AO891" s="1311"/>
      <c r="AP891" s="457"/>
      <c r="AQ891" s="458"/>
      <c r="AR891" s="458"/>
      <c r="AS891" s="458"/>
      <c r="AT891" s="458"/>
      <c r="AU891" s="458"/>
      <c r="AV891" s="458"/>
      <c r="AW891" s="1051"/>
      <c r="AX891" s="1311"/>
      <c r="BA891" s="458"/>
      <c r="BB891" s="1051"/>
      <c r="BC891" s="1311"/>
      <c r="JV891" s="1953"/>
      <c r="KA891" s="1953"/>
      <c r="KB891" s="1953"/>
      <c r="KC891" s="1953"/>
      <c r="KD891" s="1953"/>
      <c r="KE891" s="1953"/>
      <c r="KF891" s="1953"/>
      <c r="KG891" s="1953"/>
      <c r="KH891" s="1953"/>
      <c r="KI891" s="1953"/>
      <c r="KJ891" s="1953"/>
      <c r="KK891" s="1953"/>
      <c r="KL891" s="1953"/>
      <c r="KM891" s="1953"/>
      <c r="KN891" s="1953"/>
      <c r="KO891" s="1953"/>
      <c r="KP891" s="1953"/>
      <c r="KQ891" s="1953"/>
      <c r="KR891" s="1953"/>
      <c r="KS891" s="1953"/>
      <c r="KT891" s="1953"/>
      <c r="KU891" s="1953"/>
      <c r="KV891" s="1953"/>
      <c r="KW891" s="1953"/>
      <c r="KX891" s="1953"/>
      <c r="KY891" s="1953"/>
      <c r="KZ891" s="1953"/>
      <c r="LA891" s="1953"/>
      <c r="LB891" s="1953"/>
      <c r="LC891" s="1953"/>
      <c r="LD891" s="1953"/>
      <c r="LE891" s="1953"/>
      <c r="LF891" s="1953"/>
    </row>
    <row r="892" spans="1:318">
      <c r="C892" s="1311"/>
      <c r="D892" s="1311"/>
      <c r="E892" s="1203" t="s">
        <v>556</v>
      </c>
      <c r="F892" s="1311"/>
      <c r="H892" s="2009"/>
      <c r="J892" s="1993">
        <f>IN810</f>
        <v>0</v>
      </c>
      <c r="K892" s="1993">
        <f>IO810</f>
        <v>0</v>
      </c>
      <c r="L892" s="1993">
        <f>IP810</f>
        <v>0</v>
      </c>
      <c r="M892" s="1993">
        <f>IQ810</f>
        <v>0</v>
      </c>
      <c r="N892" s="1993">
        <f>IR810</f>
        <v>0</v>
      </c>
      <c r="O892" s="1993">
        <f t="shared" si="349"/>
        <v>0</v>
      </c>
      <c r="R892" s="1979">
        <f>'Part VI-Revenues &amp; Expenses'!R130</f>
        <v>0</v>
      </c>
      <c r="S892" s="1979"/>
      <c r="T892" s="1979"/>
      <c r="U892" s="1979"/>
      <c r="V892" s="1979"/>
      <c r="W892" s="1311"/>
      <c r="Z892" s="1311"/>
      <c r="AA892" s="457"/>
      <c r="AB892" s="1311"/>
      <c r="AE892" s="1311"/>
      <c r="AF892" s="457"/>
      <c r="AG892" s="1311"/>
      <c r="AJ892" s="1311"/>
      <c r="AK892" s="457"/>
      <c r="AL892" s="1311"/>
      <c r="AO892" s="1311"/>
      <c r="AP892" s="457"/>
      <c r="AQ892" s="458"/>
      <c r="AR892" s="458"/>
      <c r="AS892" s="458"/>
      <c r="AT892" s="458"/>
      <c r="AU892" s="458"/>
      <c r="AV892" s="458"/>
      <c r="BA892" s="458"/>
    </row>
    <row r="893" spans="1:318">
      <c r="C893" s="1311"/>
      <c r="D893" s="1311"/>
      <c r="E893" s="1203"/>
      <c r="F893" s="1311"/>
      <c r="H893" s="2010" t="s">
        <v>3300</v>
      </c>
      <c r="J893" s="1993">
        <f>IS810</f>
        <v>0</v>
      </c>
      <c r="K893" s="1993">
        <f>IT810</f>
        <v>0</v>
      </c>
      <c r="L893" s="1993">
        <f>IU810</f>
        <v>0</v>
      </c>
      <c r="M893" s="1993">
        <f>IV810</f>
        <v>0</v>
      </c>
      <c r="N893" s="1993">
        <f>IW810</f>
        <v>0</v>
      </c>
      <c r="O893" s="1993">
        <f t="shared" si="349"/>
        <v>0</v>
      </c>
      <c r="R893" s="1979">
        <f>'Part VI-Revenues &amp; Expenses'!R131</f>
        <v>0</v>
      </c>
      <c r="S893" s="1979"/>
      <c r="T893" s="1979"/>
      <c r="U893" s="1979"/>
      <c r="V893" s="1979"/>
      <c r="W893" s="1311"/>
      <c r="Z893" s="1311"/>
      <c r="AA893" s="457"/>
      <c r="AB893" s="1311"/>
      <c r="AE893" s="1311"/>
      <c r="AF893" s="457"/>
      <c r="AG893" s="1311"/>
      <c r="AJ893" s="1311"/>
      <c r="AK893" s="457"/>
      <c r="AL893" s="1311"/>
      <c r="AO893" s="1311"/>
      <c r="AP893" s="457"/>
      <c r="AQ893" s="458"/>
      <c r="AR893" s="458"/>
      <c r="AS893" s="458"/>
      <c r="AT893" s="458"/>
      <c r="AU893" s="458"/>
      <c r="AV893" s="458"/>
      <c r="BA893" s="458"/>
    </row>
    <row r="894" spans="1:318">
      <c r="C894" s="1311"/>
      <c r="H894" s="1963"/>
      <c r="J894" s="2004"/>
      <c r="K894" s="2004"/>
      <c r="L894" s="2004"/>
      <c r="M894" s="2004"/>
      <c r="N894" s="2004"/>
      <c r="O894" s="2004"/>
      <c r="JV894" s="1953"/>
      <c r="KA894" s="1953"/>
      <c r="KB894" s="1953"/>
      <c r="KC894" s="1953"/>
      <c r="KD894" s="1953"/>
      <c r="KE894" s="1953"/>
      <c r="KF894" s="1953"/>
      <c r="KG894" s="1953"/>
      <c r="KH894" s="1953"/>
      <c r="KI894" s="1953"/>
      <c r="KJ894" s="1953"/>
      <c r="KK894" s="1953"/>
      <c r="KL894" s="1953"/>
      <c r="KM894" s="1953"/>
      <c r="KN894" s="1953"/>
      <c r="KO894" s="1953"/>
      <c r="KP894" s="1953"/>
      <c r="KQ894" s="1953"/>
      <c r="KR894" s="1953"/>
      <c r="KS894" s="1953"/>
      <c r="KT894" s="1953"/>
      <c r="KU894" s="1953"/>
      <c r="KV894" s="1953"/>
      <c r="KW894" s="1953"/>
      <c r="KX894" s="1953"/>
      <c r="KY894" s="1953"/>
      <c r="KZ894" s="1953"/>
      <c r="LA894" s="1953"/>
      <c r="LB894" s="1953"/>
      <c r="LC894" s="1953"/>
      <c r="LD894" s="1953"/>
      <c r="LE894" s="1953"/>
      <c r="LF894" s="1953"/>
    </row>
    <row r="895" spans="1:318">
      <c r="A895" s="638" t="s">
        <v>729</v>
      </c>
      <c r="B895" s="638" t="s">
        <v>5047</v>
      </c>
      <c r="K895" s="1990">
        <f>$K$53</f>
        <v>0</v>
      </c>
      <c r="L895" s="1990"/>
      <c r="M895" s="1990"/>
      <c r="N895" s="1990"/>
      <c r="R895" s="1311" t="str">
        <f>B895</f>
        <v>UNIT SUMMARY (Continued)</v>
      </c>
      <c r="S895" s="1311"/>
      <c r="T895" s="1311"/>
      <c r="U895" s="1311"/>
      <c r="AX895" s="1311"/>
      <c r="BC895" s="1311"/>
      <c r="JV895" s="1953"/>
      <c r="KA895" s="1953"/>
      <c r="KB895" s="1953"/>
      <c r="KC895" s="1953"/>
      <c r="KD895" s="1953"/>
      <c r="KE895" s="1953"/>
      <c r="KF895" s="1953"/>
      <c r="KG895" s="1953"/>
      <c r="KH895" s="1953"/>
      <c r="KI895" s="1953"/>
      <c r="KJ895" s="1953"/>
      <c r="KK895" s="1953"/>
      <c r="KL895" s="1953"/>
      <c r="KM895" s="1953"/>
      <c r="KN895" s="1953"/>
      <c r="KO895" s="1953"/>
      <c r="KP895" s="1953"/>
      <c r="KQ895" s="1953"/>
      <c r="KR895" s="1953"/>
      <c r="KS895" s="1953"/>
      <c r="KT895" s="1953"/>
      <c r="KU895" s="1953"/>
      <c r="KV895" s="1953"/>
      <c r="KW895" s="1953"/>
      <c r="KX895" s="1953"/>
      <c r="KY895" s="1953"/>
      <c r="KZ895" s="1953"/>
      <c r="LA895" s="1953"/>
      <c r="LB895" s="1953"/>
      <c r="LC895" s="1953"/>
      <c r="LD895" s="1953"/>
      <c r="LE895" s="1953"/>
      <c r="LF895" s="1953"/>
    </row>
    <row r="896" spans="1:318" ht="13.8">
      <c r="P896" s="1785"/>
      <c r="R896" s="1778" t="str">
        <f>C897</f>
        <v>Building Type:
(for Cost Limit purposes only - see Application Instructions for further detail)</v>
      </c>
      <c r="T896" s="1991"/>
      <c r="AX896" s="1311"/>
      <c r="BC896" s="1311"/>
      <c r="JV896" s="1953"/>
      <c r="KA896" s="1953"/>
      <c r="KB896" s="1953"/>
      <c r="KC896" s="1953"/>
      <c r="KD896" s="1953"/>
      <c r="KE896" s="1953"/>
      <c r="KF896" s="1953"/>
      <c r="KG896" s="1953"/>
      <c r="KH896" s="1953"/>
      <c r="KI896" s="1953"/>
      <c r="KJ896" s="1953"/>
      <c r="KK896" s="1953"/>
      <c r="KL896" s="1953"/>
      <c r="KM896" s="1953"/>
      <c r="KN896" s="1953"/>
      <c r="KO896" s="1953"/>
      <c r="KP896" s="1953"/>
      <c r="KQ896" s="1953"/>
      <c r="KR896" s="1953"/>
      <c r="KS896" s="1953"/>
      <c r="KT896" s="1953"/>
      <c r="KU896" s="1953"/>
      <c r="KV896" s="1953"/>
      <c r="KW896" s="1953"/>
      <c r="KX896" s="1953"/>
      <c r="KY896" s="1953"/>
      <c r="KZ896" s="1953"/>
      <c r="LA896" s="1953"/>
      <c r="LB896" s="1953"/>
      <c r="LC896" s="1953"/>
      <c r="LD896" s="1953"/>
      <c r="LE896" s="1953"/>
      <c r="LF896" s="1953"/>
    </row>
    <row r="897" spans="1:318" ht="12.75" customHeight="1">
      <c r="C897" s="1979" t="s">
        <v>5049</v>
      </c>
      <c r="D897" s="1979"/>
      <c r="E897" s="1957" t="s">
        <v>3295</v>
      </c>
      <c r="F897" s="1786"/>
      <c r="H897" s="2009"/>
      <c r="J897" s="1993">
        <f t="shared" ref="J897:N898" si="350">J886+J890+J892</f>
        <v>0</v>
      </c>
      <c r="K897" s="1993">
        <f t="shared" si="350"/>
        <v>0</v>
      </c>
      <c r="L897" s="1993">
        <f t="shared" si="350"/>
        <v>0</v>
      </c>
      <c r="M897" s="1993">
        <f t="shared" si="350"/>
        <v>0</v>
      </c>
      <c r="N897" s="1993">
        <f t="shared" si="350"/>
        <v>0</v>
      </c>
      <c r="O897" s="1993">
        <f t="shared" ref="O897:O904" si="351">SUM(J897:N897)</f>
        <v>0</v>
      </c>
      <c r="R897" s="1979">
        <f>'Part VI-Revenues &amp; Expenses'!R135</f>
        <v>0</v>
      </c>
      <c r="S897" s="1979"/>
      <c r="T897" s="1979"/>
      <c r="U897" s="1979"/>
      <c r="V897" s="1979"/>
      <c r="W897" s="1311"/>
      <c r="Z897" s="1311"/>
      <c r="AA897" s="457"/>
      <c r="AB897" s="1311"/>
      <c r="AE897" s="1311"/>
      <c r="AF897" s="457"/>
      <c r="AG897" s="1311"/>
      <c r="AJ897" s="1311"/>
      <c r="AK897" s="457"/>
      <c r="AL897" s="1311"/>
      <c r="AO897" s="1311"/>
      <c r="AP897" s="457"/>
      <c r="AQ897" s="458"/>
      <c r="AR897" s="458"/>
      <c r="AS897" s="458"/>
      <c r="AT897" s="458"/>
      <c r="AU897" s="458"/>
      <c r="AV897" s="458"/>
      <c r="BA897" s="458"/>
    </row>
    <row r="898" spans="1:318">
      <c r="C898" s="1979"/>
      <c r="D898" s="1979"/>
      <c r="E898" s="1957"/>
      <c r="F898" s="1786"/>
      <c r="H898" s="2010" t="s">
        <v>3300</v>
      </c>
      <c r="J898" s="1993">
        <f t="shared" si="350"/>
        <v>0</v>
      </c>
      <c r="K898" s="1993">
        <f t="shared" si="350"/>
        <v>0</v>
      </c>
      <c r="L898" s="1993">
        <f t="shared" si="350"/>
        <v>0</v>
      </c>
      <c r="M898" s="1993">
        <f t="shared" si="350"/>
        <v>0</v>
      </c>
      <c r="N898" s="1993">
        <f t="shared" si="350"/>
        <v>0</v>
      </c>
      <c r="O898" s="1993">
        <f t="shared" si="351"/>
        <v>0</v>
      </c>
      <c r="R898" s="1979">
        <f>'Part VI-Revenues &amp; Expenses'!R136</f>
        <v>0</v>
      </c>
      <c r="S898" s="1979"/>
      <c r="T898" s="1979"/>
      <c r="U898" s="1979"/>
      <c r="V898" s="1979"/>
      <c r="W898" s="1311"/>
      <c r="Z898" s="1311"/>
      <c r="AA898" s="457"/>
      <c r="AB898" s="1311"/>
      <c r="AE898" s="1311"/>
      <c r="AF898" s="457"/>
      <c r="AG898" s="1311"/>
      <c r="AJ898" s="1311"/>
      <c r="AK898" s="457"/>
      <c r="AL898" s="1311"/>
      <c r="AO898" s="1311"/>
      <c r="AP898" s="457"/>
      <c r="AQ898" s="458"/>
      <c r="AR898" s="458"/>
      <c r="AS898" s="458"/>
      <c r="AT898" s="458"/>
      <c r="AU898" s="458"/>
      <c r="AV898" s="458"/>
      <c r="BA898" s="458"/>
    </row>
    <row r="899" spans="1:318">
      <c r="C899" s="1979"/>
      <c r="D899" s="1979"/>
      <c r="E899" s="1957" t="s">
        <v>3296</v>
      </c>
      <c r="F899" s="1786"/>
      <c r="H899" s="1786"/>
      <c r="J899" s="1993">
        <f t="shared" ref="J899:N900" si="352">J878+J888</f>
        <v>0</v>
      </c>
      <c r="K899" s="1993">
        <f t="shared" si="352"/>
        <v>0</v>
      </c>
      <c r="L899" s="1993">
        <f t="shared" si="352"/>
        <v>0</v>
      </c>
      <c r="M899" s="1993">
        <f t="shared" si="352"/>
        <v>0</v>
      </c>
      <c r="N899" s="1993">
        <f t="shared" si="352"/>
        <v>0</v>
      </c>
      <c r="O899" s="1993">
        <f t="shared" si="351"/>
        <v>0</v>
      </c>
      <c r="R899" s="1979">
        <f>'Part VI-Revenues &amp; Expenses'!R137</f>
        <v>0</v>
      </c>
      <c r="S899" s="1979"/>
      <c r="T899" s="1979"/>
      <c r="U899" s="1979"/>
      <c r="V899" s="1979"/>
      <c r="W899" s="1311"/>
      <c r="Z899" s="1311"/>
      <c r="AA899" s="457"/>
      <c r="AB899" s="1311"/>
      <c r="AE899" s="1311"/>
      <c r="AF899" s="457"/>
      <c r="AG899" s="1311"/>
      <c r="AJ899" s="1311"/>
      <c r="AK899" s="457"/>
      <c r="AL899" s="1311"/>
      <c r="AO899" s="1311"/>
      <c r="AP899" s="457"/>
      <c r="AQ899" s="458"/>
      <c r="AR899" s="458"/>
      <c r="AS899" s="458"/>
      <c r="AT899" s="458"/>
      <c r="AU899" s="458"/>
      <c r="AV899" s="458"/>
      <c r="BA899" s="458"/>
    </row>
    <row r="900" spans="1:318">
      <c r="C900" s="1979"/>
      <c r="D900" s="1979"/>
      <c r="E900" s="1957"/>
      <c r="F900" s="1786"/>
      <c r="H900" s="2010" t="s">
        <v>3300</v>
      </c>
      <c r="J900" s="1993">
        <f t="shared" si="352"/>
        <v>0</v>
      </c>
      <c r="K900" s="1993">
        <f t="shared" si="352"/>
        <v>0</v>
      </c>
      <c r="L900" s="1993">
        <f t="shared" si="352"/>
        <v>0</v>
      </c>
      <c r="M900" s="1993">
        <f t="shared" si="352"/>
        <v>0</v>
      </c>
      <c r="N900" s="1993">
        <f t="shared" si="352"/>
        <v>0</v>
      </c>
      <c r="O900" s="1993">
        <f t="shared" si="351"/>
        <v>0</v>
      </c>
      <c r="R900" s="1979">
        <f>'Part VI-Revenues &amp; Expenses'!R138</f>
        <v>0</v>
      </c>
      <c r="S900" s="1979"/>
      <c r="T900" s="1979"/>
      <c r="U900" s="1979"/>
      <c r="V900" s="1979"/>
      <c r="W900" s="1311"/>
      <c r="Z900" s="1311"/>
      <c r="AA900" s="457"/>
      <c r="AB900" s="1311"/>
      <c r="AE900" s="1311"/>
      <c r="AF900" s="457"/>
      <c r="AG900" s="1311"/>
      <c r="AJ900" s="1311"/>
      <c r="AK900" s="457"/>
      <c r="AL900" s="1311"/>
      <c r="AO900" s="1311"/>
      <c r="AP900" s="457"/>
      <c r="AQ900" s="458"/>
      <c r="AR900" s="458"/>
      <c r="AS900" s="458"/>
      <c r="AT900" s="458"/>
      <c r="AU900" s="458"/>
      <c r="AV900" s="458"/>
      <c r="BA900" s="458"/>
    </row>
    <row r="901" spans="1:318">
      <c r="C901" s="1979"/>
      <c r="D901" s="1979"/>
      <c r="E901" s="1957" t="s">
        <v>3297</v>
      </c>
      <c r="F901" s="1786"/>
      <c r="H901" s="2009"/>
      <c r="J901" s="1993">
        <f t="shared" ref="J901:N902" si="353">J882</f>
        <v>0</v>
      </c>
      <c r="K901" s="1993">
        <f t="shared" si="353"/>
        <v>32</v>
      </c>
      <c r="L901" s="1993">
        <f t="shared" si="353"/>
        <v>42</v>
      </c>
      <c r="M901" s="1993">
        <f t="shared" si="353"/>
        <v>10</v>
      </c>
      <c r="N901" s="1993">
        <f t="shared" si="353"/>
        <v>0</v>
      </c>
      <c r="O901" s="1993">
        <f t="shared" si="351"/>
        <v>84</v>
      </c>
      <c r="R901" s="1979">
        <f>'Part VI-Revenues &amp; Expenses'!R139</f>
        <v>0</v>
      </c>
      <c r="S901" s="1979"/>
      <c r="T901" s="1979"/>
      <c r="U901" s="1979"/>
      <c r="V901" s="1979"/>
      <c r="W901" s="1311"/>
      <c r="Z901" s="1311"/>
      <c r="AA901" s="457"/>
      <c r="AB901" s="1311"/>
      <c r="AE901" s="1311"/>
      <c r="AF901" s="457"/>
      <c r="AG901" s="1311"/>
      <c r="AJ901" s="1311"/>
      <c r="AK901" s="457"/>
      <c r="AL901" s="1311"/>
      <c r="AO901" s="1311"/>
      <c r="AP901" s="457"/>
      <c r="AQ901" s="458"/>
      <c r="AR901" s="458"/>
      <c r="AS901" s="458"/>
      <c r="AT901" s="458"/>
      <c r="AU901" s="458"/>
      <c r="AV901" s="458"/>
      <c r="BA901" s="458"/>
    </row>
    <row r="902" spans="1:318">
      <c r="C902" s="1979"/>
      <c r="D902" s="1979"/>
      <c r="E902" s="1957"/>
      <c r="F902" s="1786"/>
      <c r="H902" s="2010" t="s">
        <v>3300</v>
      </c>
      <c r="J902" s="1993">
        <f t="shared" si="353"/>
        <v>0</v>
      </c>
      <c r="K902" s="1993">
        <f t="shared" si="353"/>
        <v>0</v>
      </c>
      <c r="L902" s="1993">
        <f t="shared" si="353"/>
        <v>0</v>
      </c>
      <c r="M902" s="1993">
        <f t="shared" si="353"/>
        <v>0</v>
      </c>
      <c r="N902" s="1993">
        <f t="shared" si="353"/>
        <v>0</v>
      </c>
      <c r="O902" s="1993">
        <f t="shared" si="351"/>
        <v>0</v>
      </c>
      <c r="R902" s="1979">
        <f>'Part VI-Revenues &amp; Expenses'!R140</f>
        <v>0</v>
      </c>
      <c r="S902" s="1979"/>
      <c r="T902" s="1979"/>
      <c r="U902" s="1979"/>
      <c r="V902" s="1979"/>
      <c r="W902" s="1311"/>
      <c r="Z902" s="1311"/>
      <c r="AA902" s="457"/>
      <c r="AB902" s="1311"/>
      <c r="AE902" s="1311"/>
      <c r="AF902" s="457"/>
      <c r="AG902" s="1311"/>
      <c r="AJ902" s="1311"/>
      <c r="AK902" s="457"/>
      <c r="AL902" s="1311"/>
      <c r="AO902" s="1311"/>
      <c r="AP902" s="457"/>
      <c r="AQ902" s="458"/>
      <c r="AR902" s="458"/>
      <c r="AS902" s="458"/>
      <c r="AT902" s="458"/>
      <c r="AU902" s="458"/>
      <c r="AV902" s="458"/>
      <c r="BA902" s="458"/>
    </row>
    <row r="903" spans="1:318">
      <c r="C903" s="1979"/>
      <c r="D903" s="1979"/>
      <c r="E903" s="1957" t="s">
        <v>3298</v>
      </c>
      <c r="F903" s="1786"/>
      <c r="H903" s="2009"/>
      <c r="J903" s="1993">
        <f t="shared" ref="J903:N904" si="354">J880+J884</f>
        <v>0</v>
      </c>
      <c r="K903" s="1993">
        <f t="shared" si="354"/>
        <v>0</v>
      </c>
      <c r="L903" s="1993">
        <f t="shared" si="354"/>
        <v>0</v>
      </c>
      <c r="M903" s="1993">
        <f t="shared" si="354"/>
        <v>0</v>
      </c>
      <c r="N903" s="1993">
        <f t="shared" si="354"/>
        <v>0</v>
      </c>
      <c r="O903" s="1993">
        <f t="shared" si="351"/>
        <v>0</v>
      </c>
      <c r="R903" s="1979">
        <f>'Part VI-Revenues &amp; Expenses'!R141</f>
        <v>0</v>
      </c>
      <c r="S903" s="1979"/>
      <c r="T903" s="1979"/>
      <c r="U903" s="1979"/>
      <c r="V903" s="1979"/>
      <c r="W903" s="1311"/>
      <c r="Z903" s="1311"/>
      <c r="AA903" s="457"/>
      <c r="AB903" s="1311"/>
      <c r="AE903" s="1311"/>
      <c r="AF903" s="457"/>
      <c r="AG903" s="1311"/>
      <c r="AJ903" s="1311"/>
      <c r="AK903" s="457"/>
      <c r="AL903" s="1311"/>
      <c r="AO903" s="1311"/>
      <c r="AP903" s="457"/>
      <c r="AQ903" s="458"/>
      <c r="AR903" s="458"/>
      <c r="AS903" s="458"/>
      <c r="AT903" s="458"/>
      <c r="AU903" s="458"/>
      <c r="AV903" s="458"/>
      <c r="BA903" s="458"/>
    </row>
    <row r="904" spans="1:318" ht="13.5" customHeight="1">
      <c r="C904" s="1311"/>
      <c r="D904" s="1311"/>
      <c r="E904" s="2011"/>
      <c r="F904" s="1786"/>
      <c r="H904" s="2010" t="s">
        <v>3300</v>
      </c>
      <c r="J904" s="1993">
        <f t="shared" si="354"/>
        <v>0</v>
      </c>
      <c r="K904" s="1993">
        <f t="shared" si="354"/>
        <v>0</v>
      </c>
      <c r="L904" s="1993">
        <f t="shared" si="354"/>
        <v>0</v>
      </c>
      <c r="M904" s="1993">
        <f t="shared" si="354"/>
        <v>0</v>
      </c>
      <c r="N904" s="1993">
        <f t="shared" si="354"/>
        <v>0</v>
      </c>
      <c r="O904" s="1993">
        <f t="shared" si="351"/>
        <v>0</v>
      </c>
      <c r="P904" s="1785" t="s">
        <v>4774</v>
      </c>
      <c r="R904" s="1979">
        <f>'Part VI-Revenues &amp; Expenses'!R142</f>
        <v>0</v>
      </c>
      <c r="S904" s="1979"/>
      <c r="T904" s="1979"/>
      <c r="U904" s="1979"/>
      <c r="V904" s="1979"/>
      <c r="W904" s="1311"/>
      <c r="Z904" s="1311"/>
      <c r="AA904" s="457"/>
      <c r="AB904" s="1311"/>
      <c r="AE904" s="1311"/>
      <c r="AF904" s="457"/>
      <c r="AG904" s="1311"/>
      <c r="AJ904" s="1311"/>
      <c r="AK904" s="457"/>
      <c r="AL904" s="1311"/>
      <c r="AO904" s="1311"/>
      <c r="AP904" s="457"/>
      <c r="AQ904" s="458"/>
      <c r="AR904" s="458"/>
      <c r="AS904" s="458"/>
      <c r="AT904" s="458"/>
      <c r="AU904" s="458"/>
      <c r="AV904" s="458"/>
      <c r="BA904" s="458"/>
    </row>
    <row r="905" spans="1:318" ht="13.8">
      <c r="A905" s="2005"/>
      <c r="B905" s="2005"/>
      <c r="D905" s="1785"/>
      <c r="E905" s="1957"/>
      <c r="F905" s="1311"/>
      <c r="H905" s="457"/>
      <c r="J905" s="1999"/>
      <c r="K905" s="1999"/>
      <c r="L905" s="1999"/>
      <c r="M905" s="1999"/>
      <c r="N905" s="1999"/>
      <c r="O905" s="1999"/>
      <c r="P905" s="1785"/>
      <c r="R905" s="1787"/>
      <c r="T905" s="1956"/>
      <c r="W905" s="1311"/>
      <c r="Z905" s="1311"/>
      <c r="AA905" s="457"/>
      <c r="AB905" s="1311"/>
      <c r="AE905" s="1311"/>
      <c r="AF905" s="457"/>
      <c r="AG905" s="1311"/>
      <c r="AJ905" s="1311"/>
      <c r="AK905" s="457"/>
      <c r="AL905" s="1311"/>
      <c r="AO905" s="1311"/>
      <c r="AP905" s="457"/>
      <c r="AQ905" s="1311"/>
      <c r="AR905" s="1311"/>
      <c r="AS905" s="1311"/>
      <c r="AT905" s="1311"/>
      <c r="AU905" s="1311"/>
      <c r="AV905" s="1311"/>
      <c r="AX905" s="1311"/>
      <c r="BA905" s="1311"/>
      <c r="BC905" s="1311"/>
      <c r="JV905" s="1953"/>
      <c r="KA905" s="1953"/>
      <c r="KB905" s="1953"/>
      <c r="KC905" s="1953"/>
      <c r="KD905" s="1953"/>
      <c r="KE905" s="1953"/>
      <c r="KF905" s="1953"/>
      <c r="KG905" s="1953"/>
      <c r="KH905" s="1953"/>
      <c r="KI905" s="1953"/>
      <c r="KJ905" s="1953"/>
      <c r="KK905" s="1953"/>
      <c r="KL905" s="1953"/>
      <c r="KM905" s="1953"/>
      <c r="KN905" s="1953"/>
      <c r="KO905" s="1953"/>
      <c r="KP905" s="1953"/>
      <c r="KQ905" s="1953"/>
      <c r="KR905" s="1953"/>
      <c r="KS905" s="1953"/>
      <c r="KT905" s="1953"/>
      <c r="KU905" s="1953"/>
      <c r="KV905" s="1953"/>
      <c r="KW905" s="1953"/>
      <c r="KX905" s="1953"/>
      <c r="KY905" s="1953"/>
      <c r="KZ905" s="1953"/>
      <c r="LA905" s="1953"/>
      <c r="LB905" s="1953"/>
      <c r="LC905" s="1953"/>
      <c r="LD905" s="1953"/>
      <c r="LE905" s="1953"/>
      <c r="LF905" s="1953"/>
    </row>
    <row r="906" spans="1:318" ht="13.8">
      <c r="B906" s="638" t="s">
        <v>2138</v>
      </c>
      <c r="C906" s="1311"/>
      <c r="D906" s="1311"/>
      <c r="E906" s="1311"/>
      <c r="F906" s="1311"/>
      <c r="H906" s="2009"/>
      <c r="J906" s="1990"/>
      <c r="K906" s="1990"/>
      <c r="L906" s="1990"/>
      <c r="M906" s="1990"/>
      <c r="N906" s="1990"/>
      <c r="O906" s="1990"/>
      <c r="P906" s="1785"/>
      <c r="R906" s="1792" t="str">
        <f>B906</f>
        <v>Unit Square Footage:</v>
      </c>
      <c r="S906" s="1792"/>
      <c r="T906" s="1792"/>
      <c r="W906" s="1311"/>
      <c r="Z906" s="1311"/>
      <c r="AA906" s="457"/>
      <c r="AB906" s="1311"/>
      <c r="AE906" s="1311"/>
      <c r="AF906" s="457"/>
      <c r="AG906" s="1311"/>
      <c r="AJ906" s="1311"/>
      <c r="AK906" s="457"/>
      <c r="AL906" s="1311"/>
      <c r="AO906" s="1311"/>
      <c r="AP906" s="457"/>
      <c r="AQ906" s="1311"/>
      <c r="AR906" s="1311"/>
      <c r="AS906" s="1311"/>
      <c r="AT906" s="1311"/>
      <c r="AU906" s="1311"/>
      <c r="AV906" s="1311"/>
      <c r="AX906" s="1311"/>
      <c r="BA906" s="1311"/>
      <c r="BC906" s="1311"/>
      <c r="JV906" s="1953"/>
      <c r="KA906" s="1953"/>
      <c r="KB906" s="1953"/>
      <c r="KC906" s="1953"/>
      <c r="KD906" s="1953"/>
      <c r="KE906" s="1953"/>
      <c r="KF906" s="1953"/>
      <c r="KG906" s="1953"/>
      <c r="KH906" s="1953"/>
      <c r="KI906" s="1953"/>
      <c r="KJ906" s="1953"/>
      <c r="KK906" s="1953"/>
      <c r="KL906" s="1953"/>
      <c r="KM906" s="1953"/>
      <c r="KN906" s="1953"/>
      <c r="KO906" s="1953"/>
      <c r="KP906" s="1953"/>
      <c r="KQ906" s="1953"/>
      <c r="KR906" s="1953"/>
      <c r="KS906" s="1953"/>
      <c r="KT906" s="1953"/>
      <c r="KU906" s="1953"/>
      <c r="KV906" s="1953"/>
      <c r="KW906" s="1953"/>
      <c r="KX906" s="1953"/>
      <c r="KY906" s="1953"/>
      <c r="KZ906" s="1953"/>
      <c r="LA906" s="1953"/>
      <c r="LB906" s="1953"/>
      <c r="LC906" s="1953"/>
      <c r="LD906" s="1953"/>
      <c r="LE906" s="1953"/>
      <c r="LF906" s="1953"/>
    </row>
    <row r="907" spans="1:318">
      <c r="C907" s="1311" t="s">
        <v>2109</v>
      </c>
      <c r="D907" s="1311"/>
      <c r="E907" s="1311"/>
      <c r="F907" s="1311"/>
      <c r="H907" s="1051" t="s">
        <v>4287</v>
      </c>
      <c r="J907" s="2004">
        <f>EH810</f>
        <v>0</v>
      </c>
      <c r="K907" s="2004">
        <f>EI810</f>
        <v>0</v>
      </c>
      <c r="L907" s="2004">
        <f>EJ810</f>
        <v>0</v>
      </c>
      <c r="M907" s="2004">
        <f>EK810</f>
        <v>0</v>
      </c>
      <c r="N907" s="2004">
        <f>EL810</f>
        <v>0</v>
      </c>
      <c r="O907" s="2012">
        <f t="shared" ref="O907:O913" si="355">SUM(J907:N907)</f>
        <v>0</v>
      </c>
      <c r="P907" s="1965" t="str">
        <f t="shared" ref="P907:P913" si="356">IF(OR(O818=0,O818=""),"",O907/O818)</f>
        <v/>
      </c>
      <c r="R907" s="1979">
        <f>'Part VI-Revenues &amp; Expenses'!R145</f>
        <v>0</v>
      </c>
      <c r="S907" s="1979"/>
      <c r="T907" s="1979"/>
      <c r="U907" s="1979"/>
      <c r="V907" s="1979"/>
      <c r="W907" s="1311"/>
      <c r="Z907" s="1311"/>
      <c r="AA907" s="457"/>
      <c r="AB907" s="1311"/>
      <c r="AE907" s="1311"/>
      <c r="AF907" s="457"/>
      <c r="AG907" s="1311"/>
      <c r="AJ907" s="1311"/>
      <c r="AK907" s="457"/>
      <c r="AL907" s="1311"/>
      <c r="AO907" s="1311"/>
      <c r="AP907" s="457"/>
      <c r="AQ907" s="458"/>
      <c r="AR907" s="458"/>
      <c r="AS907" s="458"/>
      <c r="AT907" s="458"/>
      <c r="AU907" s="458"/>
      <c r="AV907" s="458"/>
      <c r="AX907" s="1311"/>
      <c r="BA907" s="458"/>
      <c r="BC907" s="1311"/>
      <c r="JV907" s="1953"/>
      <c r="KA907" s="1953"/>
      <c r="KB907" s="1953"/>
      <c r="KC907" s="1953"/>
      <c r="KD907" s="1953"/>
      <c r="KE907" s="1953"/>
      <c r="KF907" s="1953"/>
      <c r="KG907" s="1953"/>
      <c r="KH907" s="1953"/>
      <c r="KI907" s="1953"/>
      <c r="KJ907" s="1953"/>
      <c r="KK907" s="1953"/>
      <c r="KL907" s="1953"/>
      <c r="KM907" s="1953"/>
      <c r="KN907" s="1953"/>
      <c r="KO907" s="1953"/>
      <c r="KP907" s="1953"/>
      <c r="KQ907" s="1953"/>
      <c r="KR907" s="1953"/>
      <c r="KS907" s="1953"/>
      <c r="KT907" s="1953"/>
      <c r="KU907" s="1953"/>
      <c r="KV907" s="1953"/>
      <c r="KW907" s="1953"/>
      <c r="KX907" s="1953"/>
      <c r="KY907" s="1953"/>
      <c r="KZ907" s="1953"/>
      <c r="LA907" s="1953"/>
      <c r="LB907" s="1953"/>
      <c r="LC907" s="1953"/>
      <c r="LD907" s="1953"/>
      <c r="LE907" s="1953"/>
      <c r="LF907" s="1953"/>
    </row>
    <row r="908" spans="1:318">
      <c r="C908" s="1311"/>
      <c r="D908" s="1311"/>
      <c r="E908" s="1311"/>
      <c r="F908" s="1311"/>
      <c r="H908" s="2009" t="s">
        <v>4288</v>
      </c>
      <c r="J908" s="2012">
        <f>EM810</f>
        <v>0</v>
      </c>
      <c r="K908" s="2012">
        <f>EN810</f>
        <v>0</v>
      </c>
      <c r="L908" s="2012">
        <f>EO810</f>
        <v>0</v>
      </c>
      <c r="M908" s="2012">
        <f>EP810</f>
        <v>0</v>
      </c>
      <c r="N908" s="2012">
        <f>EQ810</f>
        <v>0</v>
      </c>
      <c r="O908" s="2012">
        <f t="shared" si="355"/>
        <v>0</v>
      </c>
      <c r="P908" s="1965" t="str">
        <f t="shared" si="356"/>
        <v/>
      </c>
      <c r="R908" s="1979">
        <f>'Part VI-Revenues &amp; Expenses'!R146</f>
        <v>0</v>
      </c>
      <c r="S908" s="1979"/>
      <c r="T908" s="1979"/>
      <c r="U908" s="1979"/>
      <c r="V908" s="1979"/>
      <c r="W908" s="1311"/>
      <c r="Z908" s="1311"/>
      <c r="AA908" s="457"/>
      <c r="AB908" s="1311"/>
      <c r="AE908" s="1311"/>
      <c r="AF908" s="457"/>
      <c r="AG908" s="1311"/>
      <c r="AJ908" s="1311"/>
      <c r="AK908" s="457"/>
      <c r="AL908" s="1311"/>
      <c r="AO908" s="1311"/>
      <c r="AP908" s="457"/>
      <c r="AQ908" s="458"/>
      <c r="AR908" s="458"/>
      <c r="AS908" s="458"/>
      <c r="AT908" s="458"/>
      <c r="AU908" s="458"/>
      <c r="AV908" s="458"/>
      <c r="AX908" s="1311"/>
      <c r="BA908" s="458"/>
      <c r="BC908" s="1311"/>
      <c r="JV908" s="1953"/>
      <c r="KA908" s="1953"/>
      <c r="KB908" s="1953"/>
      <c r="KC908" s="1953"/>
      <c r="KD908" s="1953"/>
      <c r="KE908" s="1953"/>
      <c r="KF908" s="1953"/>
      <c r="KG908" s="1953"/>
      <c r="KH908" s="1953"/>
      <c r="KI908" s="1953"/>
      <c r="KJ908" s="1953"/>
      <c r="KK908" s="1953"/>
      <c r="KL908" s="1953"/>
      <c r="KM908" s="1953"/>
      <c r="KN908" s="1953"/>
      <c r="KO908" s="1953"/>
      <c r="KP908" s="1953"/>
      <c r="KQ908" s="1953"/>
      <c r="KR908" s="1953"/>
      <c r="KS908" s="1953"/>
      <c r="KT908" s="1953"/>
      <c r="KU908" s="1953"/>
      <c r="KV908" s="1953"/>
      <c r="KW908" s="1953"/>
      <c r="KX908" s="1953"/>
      <c r="KY908" s="1953"/>
      <c r="KZ908" s="1953"/>
      <c r="LA908" s="1953"/>
      <c r="LB908" s="1953"/>
      <c r="LC908" s="1953"/>
      <c r="LD908" s="1953"/>
      <c r="LE908" s="1953"/>
      <c r="LF908" s="1953"/>
    </row>
    <row r="909" spans="1:318">
      <c r="C909" s="1311"/>
      <c r="D909" s="1311"/>
      <c r="E909" s="1311"/>
      <c r="F909" s="1311"/>
      <c r="H909" s="2009" t="s">
        <v>1136</v>
      </c>
      <c r="J909" s="2012">
        <f>ER810</f>
        <v>0</v>
      </c>
      <c r="K909" s="2012">
        <f>ES810</f>
        <v>14910</v>
      </c>
      <c r="L909" s="2012">
        <f>ET810</f>
        <v>25650</v>
      </c>
      <c r="M909" s="2012">
        <f>EU810</f>
        <v>7200</v>
      </c>
      <c r="N909" s="2012">
        <f>EV810</f>
        <v>0</v>
      </c>
      <c r="O909" s="2012">
        <f t="shared" si="355"/>
        <v>47760</v>
      </c>
      <c r="P909" s="1965">
        <f t="shared" si="356"/>
        <v>884.44444444444446</v>
      </c>
      <c r="R909" s="1979">
        <f>'Part VI-Revenues &amp; Expenses'!R147</f>
        <v>0</v>
      </c>
      <c r="S909" s="1979"/>
      <c r="T909" s="1979"/>
      <c r="U909" s="1979"/>
      <c r="V909" s="1979"/>
      <c r="W909" s="1311"/>
      <c r="Z909" s="1311"/>
      <c r="AA909" s="457"/>
      <c r="AB909" s="1311"/>
      <c r="AE909" s="1311"/>
      <c r="AF909" s="457"/>
      <c r="AG909" s="1311"/>
      <c r="AJ909" s="1311"/>
      <c r="AK909" s="457"/>
      <c r="AL909" s="1311"/>
      <c r="AO909" s="1311"/>
      <c r="AP909" s="457"/>
      <c r="AQ909" s="458"/>
      <c r="AR909" s="458"/>
      <c r="AS909" s="458"/>
      <c r="AT909" s="458"/>
      <c r="AU909" s="458"/>
      <c r="AV909" s="458"/>
      <c r="AX909" s="1311"/>
      <c r="BA909" s="458"/>
      <c r="BC909" s="1311"/>
      <c r="JV909" s="1953"/>
      <c r="KA909" s="1953"/>
      <c r="KB909" s="1953"/>
      <c r="KC909" s="1953"/>
      <c r="KD909" s="1953"/>
      <c r="KE909" s="1953"/>
      <c r="KF909" s="1953"/>
      <c r="KG909" s="1953"/>
      <c r="KH909" s="1953"/>
      <c r="KI909" s="1953"/>
      <c r="KJ909" s="1953"/>
      <c r="KK909" s="1953"/>
      <c r="KL909" s="1953"/>
      <c r="KM909" s="1953"/>
      <c r="KN909" s="1953"/>
      <c r="KO909" s="1953"/>
      <c r="KP909" s="1953"/>
      <c r="KQ909" s="1953"/>
      <c r="KR909" s="1953"/>
      <c r="KS909" s="1953"/>
      <c r="KT909" s="1953"/>
      <c r="KU909" s="1953"/>
      <c r="KV909" s="1953"/>
      <c r="KW909" s="1953"/>
      <c r="KX909" s="1953"/>
      <c r="KY909" s="1953"/>
      <c r="KZ909" s="1953"/>
      <c r="LA909" s="1953"/>
      <c r="LB909" s="1953"/>
      <c r="LC909" s="1953"/>
      <c r="LD909" s="1953"/>
      <c r="LE909" s="1953"/>
      <c r="LF909" s="1953"/>
    </row>
    <row r="910" spans="1:318">
      <c r="C910" s="1311"/>
      <c r="D910" s="1311"/>
      <c r="E910" s="1311"/>
      <c r="F910" s="1311"/>
      <c r="H910" s="2009" t="s">
        <v>116</v>
      </c>
      <c r="J910" s="2012">
        <f>EW810</f>
        <v>0</v>
      </c>
      <c r="K910" s="2012">
        <f>EX810</f>
        <v>4970</v>
      </c>
      <c r="L910" s="2012">
        <f>EY810</f>
        <v>7600</v>
      </c>
      <c r="M910" s="2012">
        <f>EZ810</f>
        <v>2400</v>
      </c>
      <c r="N910" s="2012">
        <f>FA810</f>
        <v>0</v>
      </c>
      <c r="O910" s="2012">
        <f t="shared" si="355"/>
        <v>14970</v>
      </c>
      <c r="P910" s="1965">
        <f t="shared" si="356"/>
        <v>880.58823529411768</v>
      </c>
      <c r="R910" s="1979">
        <f>'Part VI-Revenues &amp; Expenses'!R148</f>
        <v>0</v>
      </c>
      <c r="S910" s="1979"/>
      <c r="T910" s="1979"/>
      <c r="U910" s="1979"/>
      <c r="V910" s="1979"/>
      <c r="W910" s="1311"/>
      <c r="Z910" s="1311"/>
      <c r="AA910" s="457"/>
      <c r="AB910" s="1311"/>
      <c r="AE910" s="1311"/>
      <c r="AF910" s="457"/>
      <c r="AG910" s="1311"/>
      <c r="AJ910" s="1311"/>
      <c r="AK910" s="457"/>
      <c r="AL910" s="1311"/>
      <c r="AO910" s="1311"/>
      <c r="AP910" s="457"/>
      <c r="AQ910" s="458"/>
      <c r="AR910" s="458"/>
      <c r="AS910" s="458"/>
      <c r="AT910" s="458"/>
      <c r="AU910" s="458"/>
      <c r="AV910" s="458"/>
      <c r="AX910" s="1311"/>
      <c r="BA910" s="458"/>
      <c r="BC910" s="1311"/>
      <c r="JV910" s="1953"/>
      <c r="KA910" s="1953"/>
      <c r="KB910" s="1953"/>
      <c r="KC910" s="1953"/>
      <c r="KD910" s="1953"/>
      <c r="KE910" s="1953"/>
      <c r="KF910" s="1953"/>
      <c r="KG910" s="1953"/>
      <c r="KH910" s="1953"/>
      <c r="KI910" s="1953"/>
      <c r="KJ910" s="1953"/>
      <c r="KK910" s="1953"/>
      <c r="KL910" s="1953"/>
      <c r="KM910" s="1953"/>
      <c r="KN910" s="1953"/>
      <c r="KO910" s="1953"/>
      <c r="KP910" s="1953"/>
      <c r="KQ910" s="1953"/>
      <c r="KR910" s="1953"/>
      <c r="KS910" s="1953"/>
      <c r="KT910" s="1953"/>
      <c r="KU910" s="1953"/>
      <c r="KV910" s="1953"/>
      <c r="KW910" s="1953"/>
      <c r="KX910" s="1953"/>
      <c r="KY910" s="1953"/>
      <c r="KZ910" s="1953"/>
      <c r="LA910" s="1953"/>
      <c r="LB910" s="1953"/>
      <c r="LC910" s="1953"/>
      <c r="LD910" s="1953"/>
      <c r="LE910" s="1953"/>
      <c r="LF910" s="1953"/>
    </row>
    <row r="911" spans="1:318">
      <c r="C911" s="1311"/>
      <c r="D911" s="1311"/>
      <c r="E911" s="1311"/>
      <c r="F911" s="1311"/>
      <c r="H911" s="2009" t="s">
        <v>4289</v>
      </c>
      <c r="J911" s="2012">
        <f>FB810</f>
        <v>0</v>
      </c>
      <c r="K911" s="2012">
        <f>FC810</f>
        <v>0</v>
      </c>
      <c r="L911" s="2012">
        <f>FD810</f>
        <v>0</v>
      </c>
      <c r="M911" s="2012">
        <f>FE810</f>
        <v>0</v>
      </c>
      <c r="N911" s="2012">
        <f>FF810</f>
        <v>0</v>
      </c>
      <c r="O911" s="2012">
        <f t="shared" si="355"/>
        <v>0</v>
      </c>
      <c r="P911" s="1965" t="str">
        <f t="shared" si="356"/>
        <v/>
      </c>
      <c r="R911" s="1979">
        <f>'Part VI-Revenues &amp; Expenses'!R149</f>
        <v>0</v>
      </c>
      <c r="S911" s="1979"/>
      <c r="T911" s="1979"/>
      <c r="U911" s="1979"/>
      <c r="V911" s="1979"/>
      <c r="W911" s="1311"/>
      <c r="Z911" s="1311"/>
      <c r="AA911" s="457"/>
      <c r="AB911" s="1311"/>
      <c r="AE911" s="1311"/>
      <c r="AF911" s="457"/>
      <c r="AG911" s="1311"/>
      <c r="AJ911" s="1311"/>
      <c r="AK911" s="457"/>
      <c r="AL911" s="1311"/>
      <c r="AO911" s="1311"/>
      <c r="AP911" s="457"/>
      <c r="AQ911" s="458"/>
      <c r="AR911" s="458"/>
      <c r="AS911" s="458"/>
      <c r="AT911" s="458"/>
      <c r="AU911" s="458"/>
      <c r="AV911" s="458"/>
      <c r="AX911" s="1311"/>
      <c r="BA911" s="458"/>
      <c r="BC911" s="1311"/>
      <c r="JV911" s="1953"/>
      <c r="KA911" s="1953"/>
      <c r="KB911" s="1953"/>
      <c r="KC911" s="1953"/>
      <c r="KD911" s="1953"/>
      <c r="KE911" s="1953"/>
      <c r="KF911" s="1953"/>
      <c r="KG911" s="1953"/>
      <c r="KH911" s="1953"/>
      <c r="KI911" s="1953"/>
      <c r="KJ911" s="1953"/>
      <c r="KK911" s="1953"/>
      <c r="KL911" s="1953"/>
      <c r="KM911" s="1953"/>
      <c r="KN911" s="1953"/>
      <c r="KO911" s="1953"/>
      <c r="KP911" s="1953"/>
      <c r="KQ911" s="1953"/>
      <c r="KR911" s="1953"/>
      <c r="KS911" s="1953"/>
      <c r="KT911" s="1953"/>
      <c r="KU911" s="1953"/>
      <c r="KV911" s="1953"/>
      <c r="KW911" s="1953"/>
      <c r="KX911" s="1953"/>
      <c r="KY911" s="1953"/>
      <c r="KZ911" s="1953"/>
      <c r="LA911" s="1953"/>
      <c r="LB911" s="1953"/>
      <c r="LC911" s="1953"/>
      <c r="LD911" s="1953"/>
      <c r="LE911" s="1953"/>
      <c r="LF911" s="1953"/>
    </row>
    <row r="912" spans="1:318">
      <c r="C912" s="1311"/>
      <c r="D912" s="1311"/>
      <c r="E912" s="1311"/>
      <c r="F912" s="1311"/>
      <c r="H912" s="2009" t="s">
        <v>4290</v>
      </c>
      <c r="J912" s="2012">
        <f>FG810</f>
        <v>0</v>
      </c>
      <c r="K912" s="2012">
        <f>FH810</f>
        <v>0</v>
      </c>
      <c r="L912" s="2012">
        <f>FI810</f>
        <v>0</v>
      </c>
      <c r="M912" s="2012">
        <f>FJ810</f>
        <v>0</v>
      </c>
      <c r="N912" s="2012">
        <f>FK810</f>
        <v>0</v>
      </c>
      <c r="O912" s="2012">
        <f t="shared" si="355"/>
        <v>0</v>
      </c>
      <c r="P912" s="1965" t="str">
        <f t="shared" si="356"/>
        <v/>
      </c>
      <c r="R912" s="1979">
        <f>'Part VI-Revenues &amp; Expenses'!R150</f>
        <v>0</v>
      </c>
      <c r="S912" s="1979"/>
      <c r="T912" s="1979"/>
      <c r="U912" s="1979"/>
      <c r="V912" s="1979"/>
      <c r="W912" s="1311"/>
      <c r="Z912" s="1311"/>
      <c r="AA912" s="457"/>
      <c r="AB912" s="1311"/>
      <c r="AE912" s="1311"/>
      <c r="AF912" s="457"/>
      <c r="AG912" s="1311"/>
      <c r="AJ912" s="1311"/>
      <c r="AK912" s="457"/>
      <c r="AL912" s="1311"/>
      <c r="AO912" s="1311"/>
      <c r="AP912" s="457"/>
      <c r="AQ912" s="458"/>
      <c r="AR912" s="458"/>
      <c r="AS912" s="458"/>
      <c r="AT912" s="458"/>
      <c r="AU912" s="458"/>
      <c r="AV912" s="458"/>
      <c r="AX912" s="1311"/>
      <c r="BA912" s="458"/>
      <c r="BC912" s="1311"/>
      <c r="JV912" s="1953"/>
      <c r="KA912" s="1953"/>
      <c r="KB912" s="1953"/>
      <c r="KC912" s="1953"/>
      <c r="KD912" s="1953"/>
      <c r="KE912" s="1953"/>
      <c r="KF912" s="1953"/>
      <c r="KG912" s="1953"/>
      <c r="KH912" s="1953"/>
      <c r="KI912" s="1953"/>
      <c r="KJ912" s="1953"/>
      <c r="KK912" s="1953"/>
      <c r="KL912" s="1953"/>
      <c r="KM912" s="1953"/>
      <c r="KN912" s="1953"/>
      <c r="KO912" s="1953"/>
      <c r="KP912" s="1953"/>
      <c r="KQ912" s="1953"/>
      <c r="KR912" s="1953"/>
      <c r="KS912" s="1953"/>
      <c r="KT912" s="1953"/>
      <c r="KU912" s="1953"/>
      <c r="KV912" s="1953"/>
      <c r="KW912" s="1953"/>
      <c r="KX912" s="1953"/>
      <c r="KY912" s="1953"/>
      <c r="KZ912" s="1953"/>
      <c r="LA912" s="1953"/>
      <c r="LB912" s="1953"/>
      <c r="LC912" s="1953"/>
      <c r="LD912" s="1953"/>
      <c r="LE912" s="1953"/>
      <c r="LF912" s="1953"/>
    </row>
    <row r="913" spans="1:357">
      <c r="C913" s="1311"/>
      <c r="D913" s="1311"/>
      <c r="E913" s="1311"/>
      <c r="F913" s="1311"/>
      <c r="H913" s="1051" t="s">
        <v>4291</v>
      </c>
      <c r="J913" s="2004">
        <f>FL810</f>
        <v>0</v>
      </c>
      <c r="K913" s="2004">
        <f>FM810</f>
        <v>0</v>
      </c>
      <c r="L913" s="2004">
        <f>FN810</f>
        <v>0</v>
      </c>
      <c r="M913" s="2004">
        <f>FO810</f>
        <v>0</v>
      </c>
      <c r="N913" s="2004">
        <f>FP810</f>
        <v>0</v>
      </c>
      <c r="O913" s="2012">
        <f t="shared" si="355"/>
        <v>0</v>
      </c>
      <c r="P913" s="1965" t="str">
        <f t="shared" si="356"/>
        <v/>
      </c>
      <c r="R913" s="1979">
        <f>'Part VI-Revenues &amp; Expenses'!R151</f>
        <v>0</v>
      </c>
      <c r="S913" s="1979"/>
      <c r="T913" s="1979"/>
      <c r="U913" s="1979"/>
      <c r="V913" s="1979"/>
      <c r="W913" s="1311"/>
      <c r="Z913" s="1311"/>
      <c r="AA913" s="457"/>
      <c r="AB913" s="1311"/>
      <c r="AE913" s="1311"/>
      <c r="AF913" s="457"/>
      <c r="AG913" s="1311"/>
      <c r="AJ913" s="1311"/>
      <c r="AK913" s="457"/>
      <c r="AL913" s="1311"/>
      <c r="AO913" s="1311"/>
      <c r="AP913" s="457"/>
      <c r="AQ913" s="458"/>
      <c r="AR913" s="458"/>
      <c r="AS913" s="458"/>
      <c r="AT913" s="458"/>
      <c r="AU913" s="458"/>
      <c r="AV913" s="458"/>
      <c r="AW913" s="1311"/>
      <c r="AX913" s="1311"/>
      <c r="BA913" s="458"/>
      <c r="BB913" s="1311"/>
      <c r="BC913" s="1311"/>
      <c r="JV913" s="1953"/>
      <c r="KA913" s="1953"/>
      <c r="KB913" s="1953"/>
      <c r="KC913" s="1953"/>
      <c r="KD913" s="1953"/>
      <c r="KE913" s="1953"/>
      <c r="KF913" s="1953"/>
      <c r="KG913" s="1953"/>
      <c r="KH913" s="1953"/>
      <c r="KI913" s="1953"/>
      <c r="KJ913" s="1953"/>
      <c r="KK913" s="1953"/>
      <c r="KL913" s="1953"/>
      <c r="KM913" s="1953"/>
      <c r="KN913" s="1953"/>
      <c r="KO913" s="1953"/>
      <c r="KP913" s="1953"/>
      <c r="KQ913" s="1953"/>
      <c r="KR913" s="1953"/>
      <c r="KS913" s="1953"/>
      <c r="KT913" s="1953"/>
      <c r="KU913" s="1953"/>
      <c r="KV913" s="1953"/>
      <c r="KW913" s="1953"/>
      <c r="KX913" s="1953"/>
      <c r="KY913" s="1953"/>
      <c r="KZ913" s="1953"/>
      <c r="LA913" s="1953"/>
      <c r="LB913" s="1953"/>
      <c r="LC913" s="1953"/>
      <c r="LD913" s="1953"/>
      <c r="LE913" s="1953"/>
      <c r="LF913" s="1953"/>
    </row>
    <row r="914" spans="1:357">
      <c r="C914" s="1311"/>
      <c r="D914" s="1311"/>
      <c r="E914" s="1311"/>
      <c r="F914" s="1311"/>
      <c r="H914" s="2009" t="s">
        <v>4372</v>
      </c>
      <c r="J914" s="2012">
        <f>SUM(J907:J913)</f>
        <v>0</v>
      </c>
      <c r="K914" s="2012">
        <f>SUM(K907:K913)</f>
        <v>19880</v>
      </c>
      <c r="L914" s="2012">
        <f>SUM(L907:L913)</f>
        <v>33250</v>
      </c>
      <c r="M914" s="2012">
        <f>SUM(M907:M913)</f>
        <v>9600</v>
      </c>
      <c r="N914" s="2012">
        <f>SUM(N907:N913)</f>
        <v>0</v>
      </c>
      <c r="O914" s="2012">
        <f>SUM(J914:N914)</f>
        <v>62730</v>
      </c>
      <c r="R914" s="1979">
        <f>'Part VI-Revenues &amp; Expenses'!R152</f>
        <v>0</v>
      </c>
      <c r="S914" s="1979"/>
      <c r="T914" s="1979"/>
      <c r="U914" s="1979"/>
      <c r="V914" s="1979"/>
      <c r="W914" s="1311"/>
      <c r="Z914" s="1311"/>
      <c r="AA914" s="457"/>
      <c r="AB914" s="1311"/>
      <c r="AE914" s="1311"/>
      <c r="AF914" s="457"/>
      <c r="AG914" s="1311"/>
      <c r="AJ914" s="1311"/>
      <c r="AK914" s="457"/>
      <c r="AL914" s="1311"/>
      <c r="AO914" s="1311"/>
      <c r="AP914" s="457"/>
      <c r="AQ914" s="458"/>
      <c r="AR914" s="458"/>
      <c r="AS914" s="458"/>
      <c r="AT914" s="458"/>
      <c r="AU914" s="458"/>
      <c r="AV914" s="458"/>
      <c r="AW914" s="1311"/>
      <c r="AX914" s="1311"/>
      <c r="BA914" s="458"/>
      <c r="BB914" s="1311"/>
      <c r="BC914" s="1311"/>
      <c r="JV914" s="1953"/>
      <c r="KA914" s="1953"/>
      <c r="KB914" s="1953"/>
      <c r="KC914" s="1953"/>
      <c r="KD914" s="1953"/>
      <c r="KE914" s="1953"/>
      <c r="KF914" s="1953"/>
      <c r="KG914" s="1953"/>
      <c r="KH914" s="1953"/>
      <c r="KI914" s="1953"/>
      <c r="KJ914" s="1953"/>
      <c r="KK914" s="1953"/>
      <c r="KL914" s="1953"/>
      <c r="KM914" s="1953"/>
      <c r="KN914" s="1953"/>
      <c r="KO914" s="1953"/>
      <c r="KP914" s="1953"/>
      <c r="KQ914" s="1953"/>
      <c r="KR914" s="1953"/>
      <c r="KS914" s="1953"/>
      <c r="KT914" s="1953"/>
      <c r="KU914" s="1953"/>
      <c r="KV914" s="1953"/>
      <c r="KW914" s="1953"/>
      <c r="KX914" s="1953"/>
      <c r="KY914" s="1953"/>
      <c r="KZ914" s="1953"/>
      <c r="LA914" s="1953"/>
      <c r="LB914" s="1953"/>
      <c r="LC914" s="1953"/>
      <c r="LD914" s="1953"/>
      <c r="LE914" s="1953"/>
      <c r="LF914" s="1953"/>
    </row>
    <row r="915" spans="1:357">
      <c r="C915" s="1311" t="s">
        <v>300</v>
      </c>
      <c r="D915" s="1311"/>
      <c r="E915" s="1311"/>
      <c r="F915" s="1311"/>
      <c r="G915" s="1311"/>
      <c r="J915" s="2012">
        <f>FQ810</f>
        <v>0</v>
      </c>
      <c r="K915" s="2012">
        <f>FR810</f>
        <v>2840</v>
      </c>
      <c r="L915" s="2012">
        <f>FS810</f>
        <v>6650</v>
      </c>
      <c r="M915" s="2012">
        <f>FT810</f>
        <v>2400</v>
      </c>
      <c r="N915" s="2012">
        <f>FU810</f>
        <v>0</v>
      </c>
      <c r="O915" s="2012">
        <f>SUM(J915:N915)</f>
        <v>11890</v>
      </c>
      <c r="P915" s="1965">
        <f>IF(OR(O826=0,O826=""),"",O915/O826)</f>
        <v>914.61538461538464</v>
      </c>
      <c r="R915" s="1979">
        <f>'Part VI-Revenues &amp; Expenses'!R153</f>
        <v>0</v>
      </c>
      <c r="S915" s="1979"/>
      <c r="T915" s="1979"/>
      <c r="U915" s="1979"/>
      <c r="V915" s="1979"/>
      <c r="W915" s="1311"/>
      <c r="Z915" s="1311"/>
      <c r="AA915" s="1311"/>
      <c r="AB915" s="1311"/>
      <c r="AE915" s="1311"/>
      <c r="AF915" s="1311"/>
      <c r="AG915" s="1311"/>
      <c r="AJ915" s="1311"/>
      <c r="AK915" s="1311"/>
      <c r="AL915" s="1311"/>
      <c r="AO915" s="1311"/>
      <c r="AP915" s="1311"/>
      <c r="AQ915" s="458"/>
      <c r="AR915" s="458"/>
      <c r="AS915" s="458"/>
      <c r="AT915" s="458"/>
      <c r="AU915" s="458"/>
      <c r="AV915" s="458"/>
      <c r="AX915" s="1311"/>
      <c r="BA915" s="458"/>
      <c r="BC915" s="1311"/>
      <c r="JV915" s="1953"/>
      <c r="KA915" s="1953"/>
      <c r="KB915" s="1953"/>
      <c r="KC915" s="1953"/>
      <c r="KD915" s="1953"/>
      <c r="KE915" s="1953"/>
      <c r="KF915" s="1953"/>
      <c r="KG915" s="1953"/>
      <c r="KH915" s="1953"/>
      <c r="KI915" s="1953"/>
      <c r="KJ915" s="1953"/>
      <c r="KK915" s="1953"/>
      <c r="KL915" s="1953"/>
      <c r="KM915" s="1953"/>
      <c r="KN915" s="1953"/>
      <c r="KO915" s="1953"/>
      <c r="KP915" s="1953"/>
      <c r="KQ915" s="1953"/>
      <c r="KR915" s="1953"/>
      <c r="KS915" s="1953"/>
      <c r="KT915" s="1953"/>
      <c r="KU915" s="1953"/>
      <c r="KV915" s="1953"/>
      <c r="KW915" s="1953"/>
      <c r="KX915" s="1953"/>
      <c r="KY915" s="1953"/>
      <c r="KZ915" s="1953"/>
      <c r="LA915" s="1953"/>
      <c r="LB915" s="1953"/>
      <c r="LC915" s="1953"/>
      <c r="LD915" s="1953"/>
      <c r="LE915" s="1953"/>
      <c r="LF915" s="1953"/>
    </row>
    <row r="916" spans="1:357">
      <c r="C916" s="1311" t="s">
        <v>1125</v>
      </c>
      <c r="D916" s="1311"/>
      <c r="E916" s="1311"/>
      <c r="F916" s="1311"/>
      <c r="G916" s="1311"/>
      <c r="J916" s="2012">
        <f>SUM(J914:J915)</f>
        <v>0</v>
      </c>
      <c r="K916" s="2012">
        <f>SUM(K914:K915)</f>
        <v>22720</v>
      </c>
      <c r="L916" s="2012">
        <f>SUM(L914:L915)</f>
        <v>39900</v>
      </c>
      <c r="M916" s="2012">
        <f>SUM(M914:M915)</f>
        <v>12000</v>
      </c>
      <c r="N916" s="2012">
        <f>SUM(N914:N915)</f>
        <v>0</v>
      </c>
      <c r="O916" s="2012">
        <f>SUM(J916:N916)</f>
        <v>74620</v>
      </c>
      <c r="R916" s="1979">
        <f>'Part VI-Revenues &amp; Expenses'!R154</f>
        <v>0</v>
      </c>
      <c r="S916" s="1979"/>
      <c r="T916" s="1979"/>
      <c r="U916" s="1979"/>
      <c r="V916" s="1979"/>
      <c r="W916" s="1311"/>
      <c r="Z916" s="1311"/>
      <c r="AA916" s="1311"/>
      <c r="AB916" s="1311"/>
      <c r="AE916" s="1311"/>
      <c r="AF916" s="1311"/>
      <c r="AG916" s="1311"/>
      <c r="AJ916" s="1311"/>
      <c r="AK916" s="1311"/>
      <c r="AL916" s="1311"/>
      <c r="AO916" s="1311"/>
      <c r="AP916" s="1311"/>
      <c r="AQ916" s="458"/>
      <c r="AR916" s="458"/>
      <c r="AS916" s="458"/>
      <c r="AT916" s="458"/>
      <c r="AU916" s="458"/>
      <c r="AV916" s="458"/>
      <c r="AX916" s="1311"/>
      <c r="BA916" s="458"/>
      <c r="BC916" s="1311"/>
      <c r="JV916" s="1953"/>
      <c r="KA916" s="1953"/>
      <c r="KB916" s="1953"/>
      <c r="KC916" s="1953"/>
      <c r="KD916" s="1953"/>
      <c r="KE916" s="1953"/>
      <c r="KF916" s="1953"/>
      <c r="KG916" s="1953"/>
      <c r="KH916" s="1953"/>
      <c r="KI916" s="1953"/>
      <c r="KJ916" s="1953"/>
      <c r="KK916" s="1953"/>
      <c r="KL916" s="1953"/>
      <c r="KM916" s="1953"/>
      <c r="KN916" s="1953"/>
      <c r="KO916" s="1953"/>
      <c r="KP916" s="1953"/>
      <c r="KQ916" s="1953"/>
      <c r="KR916" s="1953"/>
      <c r="KS916" s="1953"/>
      <c r="KT916" s="1953"/>
      <c r="KU916" s="1953"/>
      <c r="KV916" s="1953"/>
      <c r="KW916" s="1953"/>
      <c r="KX916" s="1953"/>
      <c r="KY916" s="1953"/>
      <c r="KZ916" s="1953"/>
      <c r="LA916" s="1953"/>
      <c r="LB916" s="1953"/>
      <c r="LC916" s="1953"/>
      <c r="LD916" s="1953"/>
      <c r="LE916" s="1953"/>
      <c r="LF916" s="1953"/>
    </row>
    <row r="917" spans="1:357">
      <c r="C917" s="1311" t="s">
        <v>2478</v>
      </c>
      <c r="D917" s="1311"/>
      <c r="E917" s="1311"/>
      <c r="F917" s="1311"/>
      <c r="G917" s="1311"/>
      <c r="J917" s="2012">
        <f>GA810</f>
        <v>0</v>
      </c>
      <c r="K917" s="2012">
        <f>GB810</f>
        <v>0</v>
      </c>
      <c r="L917" s="2012">
        <f>GC810</f>
        <v>0</v>
      </c>
      <c r="M917" s="2012">
        <f>GD810</f>
        <v>0</v>
      </c>
      <c r="N917" s="2012">
        <f>GE810</f>
        <v>0</v>
      </c>
      <c r="O917" s="2012">
        <f>SUM(J917:N917)</f>
        <v>0</v>
      </c>
      <c r="P917" s="1965" t="str">
        <f>IF(OR(O828=0,O828=""),"",O917/O828)</f>
        <v/>
      </c>
      <c r="R917" s="1979">
        <f>'Part VI-Revenues &amp; Expenses'!R155</f>
        <v>0</v>
      </c>
      <c r="S917" s="1979"/>
      <c r="T917" s="1979"/>
      <c r="U917" s="1979"/>
      <c r="V917" s="1979"/>
      <c r="W917" s="1311"/>
      <c r="Z917" s="1311"/>
      <c r="AA917" s="1311"/>
      <c r="AB917" s="1311"/>
      <c r="AE917" s="1311"/>
      <c r="AF917" s="1311"/>
      <c r="AG917" s="1311"/>
      <c r="AJ917" s="1311"/>
      <c r="AK917" s="1311"/>
      <c r="AL917" s="1311"/>
      <c r="AO917" s="1311"/>
      <c r="AP917" s="1311"/>
      <c r="AQ917" s="458"/>
      <c r="AR917" s="458"/>
      <c r="AS917" s="458"/>
      <c r="AT917" s="458"/>
      <c r="AU917" s="458"/>
      <c r="AV917" s="458"/>
      <c r="AX917" s="1311"/>
      <c r="BA917" s="458"/>
      <c r="BC917" s="1311"/>
      <c r="JV917" s="1953"/>
      <c r="KA917" s="1953"/>
      <c r="KB917" s="1953"/>
      <c r="KC917" s="1953"/>
      <c r="KD917" s="1953"/>
      <c r="KE917" s="1953"/>
      <c r="KF917" s="1953"/>
      <c r="KG917" s="1953"/>
      <c r="KH917" s="1953"/>
      <c r="KI917" s="1953"/>
      <c r="KJ917" s="1953"/>
      <c r="KK917" s="1953"/>
      <c r="KL917" s="1953"/>
      <c r="KM917" s="1953"/>
      <c r="KN917" s="1953"/>
      <c r="KO917" s="1953"/>
      <c r="KP917" s="1953"/>
      <c r="KQ917" s="1953"/>
      <c r="KR917" s="1953"/>
      <c r="KS917" s="1953"/>
      <c r="KT917" s="1953"/>
      <c r="KU917" s="1953"/>
      <c r="KV917" s="1953"/>
      <c r="KW917" s="1953"/>
      <c r="KX917" s="1953"/>
      <c r="KY917" s="1953"/>
      <c r="KZ917" s="1953"/>
      <c r="LA917" s="1953"/>
      <c r="LB917" s="1953"/>
      <c r="LC917" s="1953"/>
      <c r="LD917" s="1953"/>
      <c r="LE917" s="1953"/>
      <c r="LF917" s="1953"/>
    </row>
    <row r="918" spans="1:357">
      <c r="C918" s="1311" t="s">
        <v>531</v>
      </c>
      <c r="D918" s="1311"/>
      <c r="E918" s="1311"/>
      <c r="F918" s="1311"/>
      <c r="G918" s="1311"/>
      <c r="J918" s="2012">
        <f>SUM(J916:J917)</f>
        <v>0</v>
      </c>
      <c r="K918" s="2012">
        <f>SUM(K916:K917)</f>
        <v>22720</v>
      </c>
      <c r="L918" s="2012">
        <f>SUM(L916:L917)</f>
        <v>39900</v>
      </c>
      <c r="M918" s="2012">
        <f>SUM(M916:M917)</f>
        <v>12000</v>
      </c>
      <c r="N918" s="2012">
        <f>SUM(N916:N917)</f>
        <v>0</v>
      </c>
      <c r="O918" s="2012">
        <f>SUM(J918:N918)</f>
        <v>74620</v>
      </c>
      <c r="R918" s="1979">
        <f>'Part VI-Revenues &amp; Expenses'!R156</f>
        <v>0</v>
      </c>
      <c r="S918" s="1979"/>
      <c r="T918" s="1979"/>
      <c r="U918" s="1979"/>
      <c r="V918" s="1979"/>
      <c r="W918" s="1311"/>
      <c r="Z918" s="1311"/>
      <c r="AA918" s="1311"/>
      <c r="AB918" s="1311"/>
      <c r="AE918" s="1311"/>
      <c r="AF918" s="1311"/>
      <c r="AG918" s="1311"/>
      <c r="AJ918" s="1311"/>
      <c r="AK918" s="1311"/>
      <c r="AL918" s="1311"/>
      <c r="AO918" s="1311"/>
      <c r="AP918" s="1311"/>
      <c r="AQ918" s="458"/>
      <c r="AR918" s="458"/>
      <c r="AS918" s="458"/>
      <c r="AT918" s="458"/>
      <c r="AU918" s="458"/>
      <c r="AV918" s="458"/>
      <c r="AX918" s="1311"/>
      <c r="BA918" s="458"/>
      <c r="BC918" s="1311"/>
      <c r="JV918" s="1953"/>
      <c r="KA918" s="1953"/>
      <c r="KB918" s="1953"/>
      <c r="KC918" s="1953"/>
      <c r="KD918" s="1953"/>
      <c r="KE918" s="1953"/>
      <c r="KF918" s="1953"/>
      <c r="KG918" s="1953"/>
      <c r="KH918" s="1953"/>
      <c r="KI918" s="1953"/>
      <c r="KJ918" s="1953"/>
      <c r="KK918" s="1953"/>
      <c r="KL918" s="1953"/>
      <c r="KM918" s="1953"/>
      <c r="KN918" s="1953"/>
      <c r="KO918" s="1953"/>
      <c r="KP918" s="1953"/>
      <c r="KQ918" s="1953"/>
      <c r="KR918" s="1953"/>
      <c r="KS918" s="1953"/>
      <c r="KT918" s="1953"/>
      <c r="KU918" s="1953"/>
      <c r="KV918" s="1953"/>
      <c r="KW918" s="1953"/>
      <c r="KX918" s="1953"/>
      <c r="KY918" s="1953"/>
      <c r="KZ918" s="1953"/>
      <c r="LA918" s="1953"/>
      <c r="LB918" s="1953"/>
      <c r="LC918" s="1953"/>
      <c r="LD918" s="1953"/>
      <c r="LE918" s="1953"/>
      <c r="LF918" s="1953"/>
    </row>
    <row r="919" spans="1:357">
      <c r="JV919" s="1953"/>
      <c r="KA919" s="1953"/>
      <c r="KB919" s="1953"/>
      <c r="KC919" s="1953"/>
      <c r="KD919" s="1953"/>
      <c r="KE919" s="1953"/>
      <c r="KF919" s="1953"/>
      <c r="KG919" s="1953"/>
      <c r="KH919" s="1953"/>
      <c r="KI919" s="1953"/>
      <c r="KJ919" s="1953"/>
      <c r="KK919" s="1953"/>
      <c r="KL919" s="1953"/>
      <c r="KM919" s="1953"/>
      <c r="KN919" s="1953"/>
      <c r="KO919" s="1953"/>
      <c r="KP919" s="1953"/>
      <c r="KQ919" s="1953"/>
      <c r="KR919" s="1953"/>
      <c r="KS919" s="1953"/>
      <c r="KT919" s="1953"/>
      <c r="KU919" s="1953"/>
      <c r="KV919" s="1953"/>
      <c r="KW919" s="1953"/>
      <c r="KX919" s="1953"/>
      <c r="KY919" s="1953"/>
      <c r="KZ919" s="1953"/>
      <c r="LA919" s="1953"/>
      <c r="LB919" s="1953"/>
      <c r="LC919" s="1953"/>
      <c r="LD919" s="1953"/>
      <c r="LE919" s="1953"/>
      <c r="LF919" s="1953"/>
    </row>
    <row r="920" spans="1:357">
      <c r="A920" s="1311"/>
      <c r="B920" s="1311"/>
      <c r="C920" s="1311"/>
      <c r="D920" s="1311"/>
      <c r="E920" s="1311"/>
      <c r="F920" s="1311"/>
      <c r="G920" s="1311"/>
      <c r="H920" s="1311"/>
      <c r="I920" s="1311"/>
      <c r="J920" s="1311"/>
      <c r="K920" s="1311"/>
      <c r="L920" s="1311"/>
      <c r="M920" s="1311"/>
      <c r="N920" s="1311"/>
      <c r="O920" s="1311"/>
      <c r="P920" s="1311"/>
      <c r="Q920" s="1311"/>
      <c r="R920" s="1311"/>
      <c r="S920" s="1311"/>
      <c r="T920" s="1311"/>
      <c r="U920" s="1311"/>
      <c r="V920" s="1311"/>
      <c r="W920" s="1311"/>
      <c r="X920" s="1311"/>
      <c r="Y920" s="1311"/>
      <c r="Z920" s="1311"/>
      <c r="AA920" s="1311"/>
      <c r="AB920" s="1311"/>
      <c r="AC920" s="1311"/>
      <c r="AD920" s="1311"/>
      <c r="AE920" s="1311"/>
      <c r="AF920" s="1311"/>
      <c r="AG920" s="1311"/>
      <c r="AH920" s="1311"/>
      <c r="AI920" s="1311"/>
      <c r="AJ920" s="1311"/>
      <c r="AK920" s="1311"/>
      <c r="AL920" s="1311"/>
      <c r="AM920" s="1311"/>
      <c r="AN920" s="1311"/>
      <c r="AO920" s="1311"/>
      <c r="AP920" s="1311"/>
      <c r="AQ920" s="1311"/>
      <c r="AR920" s="1311"/>
      <c r="AS920" s="1311"/>
      <c r="AT920" s="1311"/>
      <c r="AU920" s="1311"/>
      <c r="AV920" s="1311"/>
      <c r="AW920" s="1311"/>
      <c r="AX920" s="1311"/>
      <c r="AY920" s="1311"/>
      <c r="AZ920" s="1311"/>
      <c r="BA920" s="1311"/>
      <c r="BB920" s="1311"/>
      <c r="BC920" s="1311"/>
      <c r="BD920" s="1311"/>
      <c r="BE920" s="1311"/>
      <c r="BF920" s="1311"/>
      <c r="BG920" s="1311"/>
      <c r="BH920" s="1311"/>
      <c r="BI920" s="1311"/>
      <c r="BJ920" s="1311"/>
      <c r="BK920" s="1311"/>
      <c r="BL920" s="1311"/>
      <c r="BM920" s="1311"/>
      <c r="BN920" s="1311"/>
      <c r="BO920" s="1311"/>
      <c r="BP920" s="1311"/>
      <c r="BQ920" s="1311"/>
      <c r="BR920" s="1311"/>
      <c r="BS920" s="1311"/>
      <c r="BT920" s="1311"/>
      <c r="BU920" s="1311"/>
      <c r="BV920" s="1311"/>
      <c r="BW920" s="1311"/>
      <c r="BX920" s="1311"/>
      <c r="BY920" s="1311"/>
      <c r="BZ920" s="1311"/>
      <c r="CA920" s="1311"/>
      <c r="CB920" s="1311"/>
      <c r="CC920" s="1311"/>
      <c r="CD920" s="1311"/>
      <c r="CE920" s="1311"/>
      <c r="CF920" s="1311"/>
      <c r="CG920" s="1311"/>
      <c r="CH920" s="1311"/>
      <c r="CI920" s="1311"/>
      <c r="CJ920" s="1311"/>
      <c r="CK920" s="1311"/>
      <c r="CL920" s="1311"/>
      <c r="CM920" s="1311"/>
      <c r="CN920" s="1311"/>
      <c r="CO920" s="1311"/>
      <c r="CP920" s="1311"/>
      <c r="CQ920" s="1311"/>
      <c r="CR920" s="1311"/>
      <c r="CS920" s="1311"/>
      <c r="CT920" s="1311"/>
      <c r="CU920" s="1311"/>
      <c r="CV920" s="1311"/>
      <c r="CW920" s="1311"/>
      <c r="CX920" s="1311"/>
      <c r="CY920" s="1311"/>
      <c r="CZ920" s="1311"/>
      <c r="DA920" s="1311"/>
      <c r="DB920" s="1311"/>
      <c r="DC920" s="1311"/>
      <c r="DD920" s="1311"/>
      <c r="DE920" s="1311"/>
      <c r="DF920" s="1311"/>
      <c r="DG920" s="1311"/>
      <c r="DH920" s="1311"/>
      <c r="DI920" s="1311"/>
      <c r="DJ920" s="1311"/>
      <c r="DK920" s="1311"/>
      <c r="DL920" s="1311"/>
      <c r="DM920" s="1311"/>
      <c r="DN920" s="1311"/>
      <c r="DO920" s="1311"/>
      <c r="DP920" s="1311"/>
      <c r="DQ920" s="1311"/>
      <c r="DR920" s="1311"/>
      <c r="DS920" s="1311"/>
      <c r="DT920" s="1311"/>
      <c r="DU920" s="1311"/>
      <c r="DV920" s="1311"/>
      <c r="DW920" s="1311"/>
      <c r="DX920" s="1311"/>
      <c r="DY920" s="1311"/>
      <c r="DZ920" s="1311"/>
      <c r="EA920" s="1311"/>
      <c r="EB920" s="1311"/>
      <c r="EC920" s="1311"/>
      <c r="ED920" s="1311"/>
      <c r="EE920" s="1311"/>
      <c r="EF920" s="1311"/>
      <c r="EG920" s="1311"/>
      <c r="EH920" s="1311"/>
      <c r="EI920" s="1311"/>
      <c r="EJ920" s="1311"/>
      <c r="EK920" s="1311"/>
      <c r="EL920" s="1311"/>
      <c r="EM920" s="1311"/>
      <c r="EN920" s="1311"/>
      <c r="EO920" s="1311"/>
      <c r="EP920" s="1311"/>
      <c r="EQ920" s="1311"/>
      <c r="ER920" s="1311"/>
      <c r="ES920" s="1311"/>
      <c r="ET920" s="1311"/>
      <c r="EU920" s="1311"/>
      <c r="EV920" s="1311"/>
      <c r="EW920" s="1311"/>
      <c r="EX920" s="1311"/>
      <c r="EY920" s="1311"/>
      <c r="EZ920" s="1311"/>
      <c r="FA920" s="1311"/>
      <c r="FB920" s="1311"/>
      <c r="FC920" s="1311"/>
      <c r="FD920" s="1311"/>
      <c r="FE920" s="1311"/>
      <c r="FF920" s="1311"/>
      <c r="FG920" s="1311"/>
      <c r="FH920" s="1311"/>
      <c r="FI920" s="1311"/>
      <c r="FJ920" s="1311"/>
      <c r="FK920" s="1311"/>
      <c r="FL920" s="1311"/>
      <c r="FM920" s="1311"/>
      <c r="FN920" s="1311"/>
      <c r="FO920" s="1311"/>
      <c r="FP920" s="1311"/>
      <c r="FQ920" s="1311"/>
      <c r="FR920" s="1311"/>
      <c r="FS920" s="1311"/>
      <c r="FT920" s="1311"/>
      <c r="FU920" s="1311"/>
      <c r="FV920" s="1311"/>
      <c r="FW920" s="1311"/>
      <c r="FX920" s="1311"/>
      <c r="FY920" s="1311"/>
      <c r="FZ920" s="1311"/>
      <c r="GA920" s="1311"/>
      <c r="GB920" s="1311"/>
      <c r="GC920" s="1311"/>
      <c r="GD920" s="1311"/>
      <c r="GE920" s="1311"/>
      <c r="GF920" s="1311"/>
      <c r="GG920" s="1311"/>
      <c r="GH920" s="1311"/>
      <c r="GI920" s="1311"/>
      <c r="GJ920" s="1311"/>
      <c r="GK920" s="1311"/>
      <c r="GL920" s="1311"/>
      <c r="GM920" s="1311"/>
      <c r="GN920" s="1311"/>
      <c r="GO920" s="1311"/>
      <c r="GP920" s="1311"/>
      <c r="GQ920" s="1311"/>
      <c r="GR920" s="1311"/>
      <c r="GS920" s="1311"/>
      <c r="GT920" s="1311"/>
      <c r="GU920" s="1311"/>
      <c r="GV920" s="1311"/>
      <c r="GW920" s="1311"/>
      <c r="GX920" s="1311"/>
      <c r="GY920" s="1311"/>
      <c r="GZ920" s="1311"/>
      <c r="HA920" s="1311"/>
      <c r="HB920" s="1311"/>
      <c r="HC920" s="1311"/>
      <c r="HD920" s="1311"/>
      <c r="HE920" s="1311"/>
      <c r="HF920" s="1311"/>
      <c r="HG920" s="1311"/>
      <c r="HH920" s="1311"/>
      <c r="HI920" s="1311"/>
      <c r="HJ920" s="1311"/>
      <c r="HK920" s="1311"/>
      <c r="HL920" s="1311"/>
      <c r="HM920" s="1311"/>
      <c r="HN920" s="1311"/>
      <c r="HO920" s="1311"/>
      <c r="HP920" s="1311"/>
      <c r="HQ920" s="1311"/>
      <c r="HR920" s="1311"/>
      <c r="HS920" s="1311"/>
      <c r="HT920" s="1311"/>
      <c r="HU920" s="1311"/>
      <c r="HV920" s="1311"/>
      <c r="HW920" s="1311"/>
      <c r="HX920" s="1311"/>
      <c r="HY920" s="1311"/>
      <c r="HZ920" s="1311"/>
      <c r="IA920" s="1311"/>
      <c r="IB920" s="1311"/>
      <c r="IC920" s="1311"/>
      <c r="ID920" s="1311"/>
      <c r="IE920" s="1311"/>
      <c r="IF920" s="1311"/>
      <c r="IG920" s="1311"/>
      <c r="IH920" s="1311"/>
      <c r="II920" s="1311"/>
      <c r="IJ920" s="1311"/>
      <c r="IK920" s="1311"/>
      <c r="IL920" s="1311"/>
      <c r="IM920" s="1311"/>
      <c r="IN920" s="1311"/>
      <c r="IO920" s="1311"/>
      <c r="IP920" s="1311"/>
      <c r="IQ920" s="1311"/>
      <c r="IR920" s="1311"/>
      <c r="IS920" s="1311"/>
      <c r="IT920" s="1311"/>
      <c r="IU920" s="1311"/>
      <c r="IV920" s="1311"/>
      <c r="IW920" s="1311"/>
      <c r="IX920" s="1311"/>
      <c r="IY920" s="1311"/>
      <c r="IZ920" s="1311"/>
      <c r="JA920" s="1311"/>
      <c r="JB920" s="1311"/>
      <c r="JC920" s="1311"/>
      <c r="JD920" s="1311"/>
      <c r="JE920" s="1311"/>
      <c r="JF920" s="1311"/>
      <c r="JG920" s="1311"/>
      <c r="JH920" s="1311"/>
      <c r="JI920" s="1311"/>
      <c r="JJ920" s="1311"/>
      <c r="JK920" s="1311"/>
      <c r="JL920" s="1311"/>
      <c r="JM920" s="1311"/>
      <c r="JN920" s="1311"/>
      <c r="JO920" s="1311"/>
      <c r="JP920" s="1311"/>
      <c r="JQ920" s="1311"/>
      <c r="JR920" s="1311"/>
      <c r="JS920" s="1311"/>
      <c r="JT920" s="1311"/>
      <c r="JU920" s="1311"/>
      <c r="JV920" s="1955"/>
      <c r="JW920" s="1311"/>
      <c r="JX920" s="1311"/>
      <c r="JY920" s="1311"/>
      <c r="JZ920" s="1311"/>
      <c r="KA920" s="1955"/>
      <c r="KB920" s="1955"/>
      <c r="KC920" s="1955"/>
      <c r="KD920" s="1955"/>
      <c r="KE920" s="1955"/>
      <c r="KF920" s="1955"/>
      <c r="KG920" s="1955"/>
      <c r="KH920" s="1955"/>
      <c r="KI920" s="1955"/>
      <c r="KJ920" s="1955"/>
      <c r="KK920" s="1955"/>
      <c r="KL920" s="1955"/>
      <c r="KM920" s="1955"/>
      <c r="KN920" s="1955"/>
      <c r="KO920" s="1955"/>
      <c r="KP920" s="1955"/>
      <c r="KQ920" s="1955"/>
      <c r="KR920" s="1955"/>
      <c r="KS920" s="1955"/>
      <c r="KT920" s="1955"/>
      <c r="KU920" s="1955"/>
      <c r="KV920" s="1955"/>
      <c r="KW920" s="1955"/>
      <c r="KX920" s="1955"/>
      <c r="KY920" s="1955"/>
      <c r="KZ920" s="1955"/>
      <c r="LA920" s="1955"/>
      <c r="LB920" s="1955"/>
      <c r="LC920" s="1955"/>
      <c r="LD920" s="1955"/>
      <c r="LE920" s="1955"/>
      <c r="LF920" s="1955"/>
      <c r="LG920" s="1311"/>
      <c r="LH920" s="1311"/>
      <c r="LI920" s="1311"/>
      <c r="LJ920" s="1311"/>
      <c r="LK920" s="1311"/>
      <c r="LL920" s="1311"/>
      <c r="LM920" s="1311"/>
      <c r="LN920" s="1311"/>
      <c r="LO920" s="1311"/>
      <c r="LP920" s="1311"/>
      <c r="LQ920" s="1311"/>
      <c r="LR920" s="1311"/>
      <c r="LS920" s="1311"/>
      <c r="LT920" s="1311"/>
      <c r="LU920" s="1311"/>
      <c r="LV920" s="1311"/>
      <c r="LW920" s="1311"/>
      <c r="LX920" s="1311"/>
      <c r="LY920" s="1311"/>
      <c r="LZ920" s="1311"/>
      <c r="MA920" s="1311"/>
      <c r="MB920" s="1311"/>
      <c r="MC920" s="1311"/>
      <c r="MD920" s="1311"/>
      <c r="ME920" s="1311"/>
      <c r="MF920" s="1311"/>
      <c r="MG920" s="1311"/>
      <c r="MH920" s="1311"/>
      <c r="MI920" s="1311"/>
      <c r="MJ920" s="1311"/>
      <c r="MK920" s="1311"/>
      <c r="ML920" s="1311"/>
      <c r="MM920" s="1311"/>
      <c r="MN920" s="1311"/>
      <c r="MO920" s="1311"/>
      <c r="MP920" s="1311"/>
      <c r="MQ920" s="1311"/>
      <c r="MR920" s="1311"/>
      <c r="MS920" s="1311"/>
    </row>
    <row r="921" spans="1:357">
      <c r="A921" s="1311"/>
      <c r="B921" s="1311"/>
      <c r="C921" s="1311" t="s">
        <v>5050</v>
      </c>
      <c r="D921" s="1311"/>
      <c r="E921" s="1311"/>
      <c r="F921" s="1311"/>
      <c r="G921" s="1311"/>
      <c r="H921" s="1311"/>
      <c r="I921" s="1311"/>
      <c r="J921" s="2013" t="str">
        <f>'Part VI-Revenues &amp; Expenses'!J159</f>
        <v/>
      </c>
      <c r="K921" s="2013">
        <f>'Part VI-Revenues &amp; Expenses'!K159</f>
        <v>710</v>
      </c>
      <c r="L921" s="2013">
        <f>'Part VI-Revenues &amp; Expenses'!L159</f>
        <v>950</v>
      </c>
      <c r="M921" s="2013">
        <f>'Part VI-Revenues &amp; Expenses'!M159</f>
        <v>1200</v>
      </c>
      <c r="N921" s="2013" t="str">
        <f>'Part VI-Revenues &amp; Expenses'!N159</f>
        <v/>
      </c>
      <c r="O921" s="2013">
        <f>'Part VI-Revenues &amp; Expenses'!O159</f>
        <v>0</v>
      </c>
      <c r="P921" s="1311"/>
      <c r="Q921" s="1311"/>
      <c r="R921" s="1311"/>
      <c r="S921" s="1311"/>
      <c r="T921" s="1311"/>
      <c r="U921" s="1311"/>
      <c r="V921" s="1311"/>
      <c r="W921" s="1311"/>
      <c r="X921" s="1311"/>
      <c r="Y921" s="1311"/>
      <c r="Z921" s="1311"/>
      <c r="AA921" s="1311"/>
      <c r="AB921" s="1311"/>
      <c r="AC921" s="1311"/>
      <c r="AD921" s="1311"/>
      <c r="AE921" s="1311"/>
      <c r="AF921" s="1311"/>
      <c r="AG921" s="1311"/>
      <c r="AH921" s="1311"/>
      <c r="AI921" s="1311"/>
      <c r="AJ921" s="1311"/>
      <c r="AK921" s="1311"/>
      <c r="AL921" s="1311"/>
      <c r="AM921" s="1311"/>
      <c r="AN921" s="1311"/>
      <c r="AO921" s="1311"/>
      <c r="AP921" s="1311"/>
      <c r="AQ921" s="1311"/>
      <c r="AR921" s="1311"/>
      <c r="AS921" s="1311"/>
      <c r="AT921" s="1311"/>
      <c r="AU921" s="1311"/>
      <c r="AV921" s="1311"/>
      <c r="AW921" s="1311"/>
      <c r="AX921" s="1311"/>
      <c r="AY921" s="1311"/>
      <c r="AZ921" s="1311"/>
      <c r="BA921" s="1311"/>
      <c r="BB921" s="1311"/>
      <c r="BC921" s="1311"/>
      <c r="BD921" s="1311"/>
      <c r="BE921" s="1311"/>
      <c r="BF921" s="1311"/>
      <c r="BG921" s="1311"/>
      <c r="BH921" s="1311"/>
      <c r="BI921" s="1311"/>
      <c r="BJ921" s="1311"/>
      <c r="BK921" s="1311"/>
      <c r="BL921" s="1311"/>
      <c r="BM921" s="1311"/>
      <c r="BN921" s="1311"/>
      <c r="BO921" s="1311"/>
      <c r="BP921" s="1311"/>
      <c r="BQ921" s="1311"/>
      <c r="BR921" s="1311"/>
      <c r="BS921" s="1311"/>
      <c r="BT921" s="1311"/>
      <c r="BU921" s="1311"/>
      <c r="BV921" s="1311"/>
      <c r="BW921" s="1311"/>
      <c r="BX921" s="1311"/>
      <c r="BY921" s="1311"/>
      <c r="BZ921" s="1311"/>
      <c r="CA921" s="1311"/>
      <c r="CB921" s="1311"/>
      <c r="CC921" s="1311"/>
      <c r="CD921" s="1311"/>
      <c r="CE921" s="1311"/>
      <c r="CF921" s="1311"/>
      <c r="CG921" s="1311"/>
      <c r="CH921" s="1311"/>
      <c r="CI921" s="1311"/>
      <c r="CJ921" s="1311"/>
      <c r="CK921" s="1311"/>
      <c r="CL921" s="1311"/>
      <c r="CM921" s="1311"/>
      <c r="CN921" s="1311"/>
      <c r="CO921" s="1311"/>
      <c r="CP921" s="1311"/>
      <c r="CQ921" s="1311"/>
      <c r="CR921" s="1311"/>
      <c r="CS921" s="1311"/>
      <c r="CT921" s="1311"/>
      <c r="CU921" s="1311"/>
      <c r="CV921" s="1311"/>
      <c r="CW921" s="1311"/>
      <c r="CX921" s="1311"/>
      <c r="CY921" s="1311"/>
      <c r="CZ921" s="1311"/>
      <c r="DA921" s="1311"/>
      <c r="DB921" s="1311"/>
      <c r="DC921" s="1311"/>
      <c r="DD921" s="1311"/>
      <c r="DE921" s="1311"/>
      <c r="DF921" s="1311"/>
      <c r="DG921" s="1311"/>
      <c r="DH921" s="1311"/>
      <c r="DI921" s="1311"/>
      <c r="DJ921" s="1311"/>
      <c r="DK921" s="1311"/>
      <c r="DL921" s="1311"/>
      <c r="DM921" s="1311"/>
      <c r="DN921" s="1311"/>
      <c r="DO921" s="1311"/>
      <c r="DP921" s="1311"/>
      <c r="DQ921" s="1311"/>
      <c r="DR921" s="1311"/>
      <c r="DS921" s="1311"/>
      <c r="DT921" s="1311"/>
      <c r="DU921" s="1311"/>
      <c r="DV921" s="1311"/>
      <c r="DW921" s="1311"/>
      <c r="DX921" s="1311"/>
      <c r="DY921" s="1311"/>
      <c r="DZ921" s="1311"/>
      <c r="EA921" s="1311"/>
      <c r="EB921" s="1311"/>
      <c r="EC921" s="1311"/>
      <c r="ED921" s="1311"/>
      <c r="EE921" s="1311"/>
      <c r="EF921" s="1311"/>
      <c r="EG921" s="1311"/>
      <c r="EH921" s="1311"/>
      <c r="EI921" s="1311"/>
      <c r="EJ921" s="1311"/>
      <c r="EK921" s="1311"/>
      <c r="EL921" s="1311"/>
      <c r="EM921" s="1311"/>
      <c r="EN921" s="1311"/>
      <c r="EO921" s="1311"/>
      <c r="EP921" s="1311"/>
      <c r="EQ921" s="1311"/>
      <c r="ER921" s="1311"/>
      <c r="ES921" s="1311"/>
      <c r="ET921" s="1311"/>
      <c r="EU921" s="1311"/>
      <c r="EV921" s="1311"/>
      <c r="EW921" s="1311"/>
      <c r="EX921" s="1311"/>
      <c r="EY921" s="1311"/>
      <c r="EZ921" s="1311"/>
      <c r="FA921" s="1311"/>
      <c r="FB921" s="1311"/>
      <c r="FC921" s="1311"/>
      <c r="FD921" s="1311"/>
      <c r="FE921" s="1311"/>
      <c r="FF921" s="1311"/>
      <c r="FG921" s="1311"/>
      <c r="FH921" s="1311"/>
      <c r="FI921" s="1311"/>
      <c r="FJ921" s="1311"/>
      <c r="FK921" s="1311"/>
      <c r="FL921" s="1311"/>
      <c r="FM921" s="1311"/>
      <c r="FN921" s="1311"/>
      <c r="FO921" s="1311"/>
      <c r="FP921" s="1311"/>
      <c r="FQ921" s="1311"/>
      <c r="FR921" s="1311"/>
      <c r="FS921" s="1311"/>
      <c r="FT921" s="1311"/>
      <c r="FU921" s="1311"/>
      <c r="FV921" s="1311"/>
      <c r="FW921" s="1311"/>
      <c r="FX921" s="1311"/>
      <c r="FY921" s="1311"/>
      <c r="FZ921" s="1311"/>
      <c r="GA921" s="1311"/>
      <c r="GB921" s="1311"/>
      <c r="GC921" s="1311"/>
      <c r="GD921" s="1311"/>
      <c r="GE921" s="1311"/>
      <c r="GF921" s="1311"/>
      <c r="GG921" s="1311"/>
      <c r="GH921" s="1311"/>
      <c r="GI921" s="1311"/>
      <c r="GJ921" s="1311"/>
      <c r="GK921" s="1311"/>
      <c r="GL921" s="1311"/>
      <c r="GM921" s="1311"/>
      <c r="GN921" s="1311"/>
      <c r="GO921" s="1311"/>
      <c r="GP921" s="1311"/>
      <c r="GQ921" s="1311"/>
      <c r="GR921" s="1311"/>
      <c r="GS921" s="1311"/>
      <c r="GT921" s="1311"/>
      <c r="GU921" s="1311"/>
      <c r="GV921" s="1311"/>
      <c r="GW921" s="1311"/>
      <c r="GX921" s="1311"/>
      <c r="GY921" s="1311"/>
      <c r="GZ921" s="1311"/>
      <c r="HA921" s="1311"/>
      <c r="HB921" s="1311"/>
      <c r="HC921" s="1311"/>
      <c r="HD921" s="1311"/>
      <c r="HE921" s="1311"/>
      <c r="HF921" s="1311"/>
      <c r="HG921" s="1311"/>
      <c r="HH921" s="1311"/>
      <c r="HI921" s="1311"/>
      <c r="HJ921" s="1311"/>
      <c r="HK921" s="1311"/>
      <c r="HL921" s="1311"/>
      <c r="HM921" s="1311"/>
      <c r="HN921" s="1311"/>
      <c r="HO921" s="1311"/>
      <c r="HP921" s="1311"/>
      <c r="HQ921" s="1311"/>
      <c r="HR921" s="1311"/>
      <c r="HS921" s="1311"/>
      <c r="HT921" s="1311"/>
      <c r="HU921" s="1311"/>
      <c r="HV921" s="1311"/>
      <c r="HW921" s="1311"/>
      <c r="HX921" s="1311"/>
      <c r="HY921" s="1311"/>
      <c r="HZ921" s="1311"/>
      <c r="IA921" s="1311"/>
      <c r="IB921" s="1311"/>
      <c r="IC921" s="1311"/>
      <c r="ID921" s="1311"/>
      <c r="IE921" s="1311"/>
      <c r="IF921" s="1311"/>
      <c r="IG921" s="1311"/>
      <c r="IH921" s="1311"/>
      <c r="II921" s="1311"/>
      <c r="IJ921" s="1311"/>
      <c r="IK921" s="1311"/>
      <c r="IL921" s="1311"/>
      <c r="IM921" s="1311"/>
      <c r="IN921" s="1311"/>
      <c r="IO921" s="1311"/>
      <c r="IP921" s="1311"/>
      <c r="IQ921" s="1311"/>
      <c r="IR921" s="1311"/>
      <c r="IS921" s="1311"/>
      <c r="IT921" s="1311"/>
      <c r="IU921" s="1311"/>
      <c r="IV921" s="1311"/>
      <c r="IW921" s="1311"/>
      <c r="IX921" s="1311"/>
      <c r="IY921" s="1311"/>
      <c r="IZ921" s="1311"/>
      <c r="JA921" s="1311"/>
      <c r="JB921" s="1311"/>
      <c r="JC921" s="1311"/>
      <c r="JD921" s="1311"/>
      <c r="JE921" s="1311"/>
      <c r="JF921" s="1311"/>
      <c r="JG921" s="1311"/>
      <c r="JH921" s="1311"/>
      <c r="JI921" s="1311"/>
      <c r="JJ921" s="1311"/>
      <c r="JK921" s="1311"/>
      <c r="JL921" s="1311"/>
      <c r="JM921" s="1311"/>
      <c r="JN921" s="1311"/>
      <c r="JO921" s="1311"/>
      <c r="JP921" s="1311"/>
      <c r="JQ921" s="1311"/>
      <c r="JR921" s="1311"/>
      <c r="JS921" s="1311"/>
      <c r="JT921" s="1311"/>
      <c r="JU921" s="1311"/>
      <c r="JV921" s="1955"/>
      <c r="JW921" s="1311"/>
      <c r="JX921" s="1311"/>
      <c r="JY921" s="1311"/>
      <c r="JZ921" s="1311"/>
      <c r="KA921" s="1955"/>
      <c r="KB921" s="1955"/>
      <c r="KC921" s="1955"/>
      <c r="KD921" s="1955"/>
      <c r="KE921" s="1955"/>
      <c r="KF921" s="1955"/>
      <c r="KG921" s="1955"/>
      <c r="KH921" s="1955"/>
      <c r="KI921" s="1955"/>
      <c r="KJ921" s="1955"/>
      <c r="KK921" s="1955"/>
      <c r="KL921" s="1955"/>
      <c r="KM921" s="1955"/>
      <c r="KN921" s="1955"/>
      <c r="KO921" s="1955"/>
      <c r="KP921" s="1955"/>
      <c r="KQ921" s="1955"/>
      <c r="KR921" s="1955"/>
      <c r="KS921" s="1955"/>
      <c r="KT921" s="1955"/>
      <c r="KU921" s="1955"/>
      <c r="KV921" s="1955"/>
      <c r="KW921" s="1955"/>
      <c r="KX921" s="1955"/>
      <c r="KY921" s="1955"/>
      <c r="KZ921" s="1955"/>
      <c r="LA921" s="1955"/>
      <c r="LB921" s="1955"/>
      <c r="LC921" s="1955"/>
      <c r="LD921" s="1955"/>
      <c r="LE921" s="1955"/>
      <c r="LF921" s="1955"/>
      <c r="LG921" s="1311"/>
      <c r="LH921" s="1311"/>
      <c r="LI921" s="1311"/>
      <c r="LJ921" s="1311"/>
      <c r="LK921" s="1311"/>
      <c r="LL921" s="1311"/>
      <c r="LM921" s="1311"/>
      <c r="LN921" s="1311"/>
      <c r="LO921" s="1311"/>
      <c r="LP921" s="1311"/>
      <c r="LQ921" s="1311"/>
      <c r="LR921" s="1311"/>
      <c r="LS921" s="1311"/>
      <c r="LT921" s="1311"/>
      <c r="LU921" s="1311"/>
      <c r="LV921" s="1311"/>
      <c r="LW921" s="1311"/>
      <c r="LX921" s="1311"/>
      <c r="LY921" s="1311"/>
      <c r="LZ921" s="1311"/>
      <c r="MA921" s="1311"/>
      <c r="MB921" s="1311"/>
      <c r="MC921" s="1311"/>
      <c r="MD921" s="1311"/>
      <c r="ME921" s="1311"/>
      <c r="MF921" s="1311"/>
      <c r="MG921" s="1311"/>
      <c r="MH921" s="1311"/>
      <c r="MI921" s="1311"/>
      <c r="MJ921" s="1311"/>
      <c r="MK921" s="1311"/>
      <c r="ML921" s="1311"/>
      <c r="MM921" s="1311"/>
      <c r="MN921" s="1311"/>
      <c r="MO921" s="1311"/>
      <c r="MP921" s="1311"/>
      <c r="MQ921" s="1311"/>
      <c r="MR921" s="1311"/>
      <c r="MS921" s="1311"/>
    </row>
    <row r="922" spans="1:357">
      <c r="A922" s="1311"/>
      <c r="B922" s="1311"/>
      <c r="C922" s="1311"/>
      <c r="D922" s="1311"/>
      <c r="E922" s="1311"/>
      <c r="F922" s="1311"/>
      <c r="G922" s="1311"/>
      <c r="H922" s="1311"/>
      <c r="I922" s="1311"/>
      <c r="J922" s="1311"/>
      <c r="K922" s="1311"/>
      <c r="L922" s="1311"/>
      <c r="M922" s="1311"/>
      <c r="N922" s="1311"/>
      <c r="O922" s="1311"/>
      <c r="P922" s="1311"/>
      <c r="Q922" s="1311"/>
      <c r="R922" s="1311"/>
      <c r="S922" s="1311"/>
      <c r="T922" s="1311"/>
      <c r="U922" s="1311"/>
      <c r="V922" s="1311"/>
      <c r="W922" s="1311"/>
      <c r="X922" s="1311"/>
      <c r="Y922" s="1311"/>
      <c r="Z922" s="1311"/>
      <c r="AA922" s="1311"/>
      <c r="AB922" s="1311"/>
      <c r="AC922" s="1311"/>
      <c r="AD922" s="1311"/>
      <c r="AE922" s="1311"/>
      <c r="AF922" s="1311"/>
      <c r="AG922" s="1311"/>
      <c r="AH922" s="1311"/>
      <c r="AI922" s="1311"/>
      <c r="AJ922" s="1311"/>
      <c r="AK922" s="1311"/>
      <c r="AL922" s="1311"/>
      <c r="AM922" s="1311"/>
      <c r="AN922" s="1311"/>
      <c r="AO922" s="1311"/>
      <c r="AP922" s="1311"/>
      <c r="AQ922" s="1311"/>
      <c r="AR922" s="1311"/>
      <c r="AS922" s="1311"/>
      <c r="AT922" s="1311"/>
      <c r="AU922" s="1311"/>
      <c r="AV922" s="1311"/>
      <c r="AW922" s="1311"/>
      <c r="AX922" s="1311"/>
      <c r="AY922" s="1311"/>
      <c r="AZ922" s="1311"/>
      <c r="BA922" s="1311"/>
      <c r="BB922" s="1311"/>
      <c r="BC922" s="1311"/>
      <c r="BD922" s="1311"/>
      <c r="BE922" s="1311"/>
      <c r="BF922" s="1311"/>
      <c r="BG922" s="1311"/>
      <c r="BH922" s="1311"/>
      <c r="BI922" s="1311"/>
      <c r="BJ922" s="1311"/>
      <c r="BK922" s="1311"/>
      <c r="BL922" s="1311"/>
      <c r="BM922" s="1311"/>
      <c r="BN922" s="1311"/>
      <c r="BO922" s="1311"/>
      <c r="BP922" s="1311"/>
      <c r="BQ922" s="1311"/>
      <c r="BR922" s="1311"/>
      <c r="BS922" s="1311"/>
      <c r="BT922" s="1311"/>
      <c r="BU922" s="1311"/>
      <c r="BV922" s="1311"/>
      <c r="BW922" s="1311"/>
      <c r="BX922" s="1311"/>
      <c r="BY922" s="1311"/>
      <c r="BZ922" s="1311"/>
      <c r="CA922" s="1311"/>
      <c r="CB922" s="1311"/>
      <c r="CC922" s="1311"/>
      <c r="CD922" s="1311"/>
      <c r="CE922" s="1311"/>
      <c r="CF922" s="1311"/>
      <c r="CG922" s="1311"/>
      <c r="CH922" s="1311"/>
      <c r="CI922" s="1311"/>
      <c r="CJ922" s="1311"/>
      <c r="CK922" s="1311"/>
      <c r="CL922" s="1311"/>
      <c r="CM922" s="1311"/>
      <c r="CN922" s="1311"/>
      <c r="CO922" s="1311"/>
      <c r="CP922" s="1311"/>
      <c r="CQ922" s="1311"/>
      <c r="CR922" s="1311"/>
      <c r="CS922" s="1311"/>
      <c r="CT922" s="1311"/>
      <c r="CU922" s="1311"/>
      <c r="CV922" s="1311"/>
      <c r="CW922" s="1311"/>
      <c r="CX922" s="1311"/>
      <c r="CY922" s="1311"/>
      <c r="CZ922" s="1311"/>
      <c r="DA922" s="1311"/>
      <c r="DB922" s="1311"/>
      <c r="DC922" s="1311"/>
      <c r="DD922" s="1311"/>
      <c r="DE922" s="1311"/>
      <c r="DF922" s="1311"/>
      <c r="DG922" s="1311"/>
      <c r="DH922" s="1311"/>
      <c r="DI922" s="1311"/>
      <c r="DJ922" s="1311"/>
      <c r="DK922" s="1311"/>
      <c r="DL922" s="1311"/>
      <c r="DM922" s="1311"/>
      <c r="DN922" s="1311"/>
      <c r="DO922" s="1311"/>
      <c r="DP922" s="1311"/>
      <c r="DQ922" s="1311"/>
      <c r="DR922" s="1311"/>
      <c r="DS922" s="1311"/>
      <c r="DT922" s="1311"/>
      <c r="DU922" s="1311"/>
      <c r="DV922" s="1311"/>
      <c r="DW922" s="1311"/>
      <c r="DX922" s="1311"/>
      <c r="DY922" s="1311"/>
      <c r="DZ922" s="1311"/>
      <c r="EA922" s="1311"/>
      <c r="EB922" s="1311"/>
      <c r="EC922" s="1311"/>
      <c r="ED922" s="1311"/>
      <c r="EE922" s="1311"/>
      <c r="EF922" s="1311"/>
      <c r="EG922" s="1311"/>
      <c r="EH922" s="1311"/>
      <c r="EI922" s="1311"/>
      <c r="EJ922" s="1311"/>
      <c r="EK922" s="1311"/>
      <c r="EL922" s="1311"/>
      <c r="EM922" s="1311"/>
      <c r="EN922" s="1311"/>
      <c r="EO922" s="1311"/>
      <c r="EP922" s="1311"/>
      <c r="EQ922" s="1311"/>
      <c r="ER922" s="1311"/>
      <c r="ES922" s="1311"/>
      <c r="ET922" s="1311"/>
      <c r="EU922" s="1311"/>
      <c r="EV922" s="1311"/>
      <c r="EW922" s="1311"/>
      <c r="EX922" s="1311"/>
      <c r="EY922" s="1311"/>
      <c r="EZ922" s="1311"/>
      <c r="FA922" s="1311"/>
      <c r="FB922" s="1311"/>
      <c r="FC922" s="1311"/>
      <c r="FD922" s="1311"/>
      <c r="FE922" s="1311"/>
      <c r="FF922" s="1311"/>
      <c r="FG922" s="1311"/>
      <c r="FH922" s="1311"/>
      <c r="FI922" s="1311"/>
      <c r="FJ922" s="1311"/>
      <c r="FK922" s="1311"/>
      <c r="FL922" s="1311"/>
      <c r="FM922" s="1311"/>
      <c r="FN922" s="1311"/>
      <c r="FO922" s="1311"/>
      <c r="FP922" s="1311"/>
      <c r="FQ922" s="1311"/>
      <c r="FR922" s="1311"/>
      <c r="FS922" s="1311"/>
      <c r="FT922" s="1311"/>
      <c r="FU922" s="1311"/>
      <c r="FV922" s="1311"/>
      <c r="FW922" s="1311"/>
      <c r="FX922" s="1311"/>
      <c r="FY922" s="1311"/>
      <c r="FZ922" s="1311"/>
      <c r="GA922" s="1311"/>
      <c r="GB922" s="1311"/>
      <c r="GC922" s="1311"/>
      <c r="GD922" s="1311"/>
      <c r="GE922" s="1311"/>
      <c r="GF922" s="1311"/>
      <c r="GG922" s="1311"/>
      <c r="GH922" s="1311"/>
      <c r="GI922" s="1311"/>
      <c r="GJ922" s="1311"/>
      <c r="GK922" s="1311"/>
      <c r="GL922" s="1311"/>
      <c r="GM922" s="1311"/>
      <c r="GN922" s="1311"/>
      <c r="GO922" s="1311"/>
      <c r="GP922" s="1311"/>
      <c r="GQ922" s="1311"/>
      <c r="GR922" s="1311"/>
      <c r="GS922" s="1311"/>
      <c r="GT922" s="1311"/>
      <c r="GU922" s="1311"/>
      <c r="GV922" s="1311"/>
      <c r="GW922" s="1311"/>
      <c r="GX922" s="1311"/>
      <c r="GY922" s="1311"/>
      <c r="GZ922" s="1311"/>
      <c r="HA922" s="1311"/>
      <c r="HB922" s="1311"/>
      <c r="HC922" s="1311"/>
      <c r="HD922" s="1311"/>
      <c r="HE922" s="1311"/>
      <c r="HF922" s="1311"/>
      <c r="HG922" s="1311"/>
      <c r="HH922" s="1311"/>
      <c r="HI922" s="1311"/>
      <c r="HJ922" s="1311"/>
      <c r="HK922" s="1311"/>
      <c r="HL922" s="1311"/>
      <c r="HM922" s="1311"/>
      <c r="HN922" s="1311"/>
      <c r="HO922" s="1311"/>
      <c r="HP922" s="1311"/>
      <c r="HQ922" s="1311"/>
      <c r="HR922" s="1311"/>
      <c r="HS922" s="1311"/>
      <c r="HT922" s="1311"/>
      <c r="HU922" s="1311"/>
      <c r="HV922" s="1311"/>
      <c r="HW922" s="1311"/>
      <c r="HX922" s="1311"/>
      <c r="HY922" s="1311"/>
      <c r="HZ922" s="1311"/>
      <c r="IA922" s="1311"/>
      <c r="IB922" s="1311"/>
      <c r="IC922" s="1311"/>
      <c r="ID922" s="1311"/>
      <c r="IE922" s="1311"/>
      <c r="IF922" s="1311"/>
      <c r="IG922" s="1311"/>
      <c r="IH922" s="1311"/>
      <c r="II922" s="1311"/>
      <c r="IJ922" s="1311"/>
      <c r="IK922" s="1311"/>
      <c r="IL922" s="1311"/>
      <c r="IM922" s="1311"/>
      <c r="IN922" s="1311"/>
      <c r="IO922" s="1311"/>
      <c r="IP922" s="1311"/>
      <c r="IQ922" s="1311"/>
      <c r="IR922" s="1311"/>
      <c r="IS922" s="1311"/>
      <c r="IT922" s="1311"/>
      <c r="IU922" s="1311"/>
      <c r="IV922" s="1311"/>
      <c r="IW922" s="1311"/>
      <c r="IX922" s="1311"/>
      <c r="IY922" s="1311"/>
      <c r="IZ922" s="1311"/>
      <c r="JA922" s="1311"/>
      <c r="JB922" s="1311"/>
      <c r="JC922" s="1311"/>
      <c r="JD922" s="1311"/>
      <c r="JE922" s="1311"/>
      <c r="JF922" s="1311"/>
      <c r="JG922" s="1311"/>
      <c r="JH922" s="1311"/>
      <c r="JI922" s="1311"/>
      <c r="JJ922" s="1311"/>
      <c r="JK922" s="1311"/>
      <c r="JL922" s="1311"/>
      <c r="JM922" s="1311"/>
      <c r="JN922" s="1311"/>
      <c r="JO922" s="1311"/>
      <c r="JP922" s="1311"/>
      <c r="JQ922" s="1311"/>
      <c r="JR922" s="1311"/>
      <c r="JS922" s="1311"/>
      <c r="JT922" s="1311"/>
      <c r="JU922" s="1311"/>
      <c r="JV922" s="1955"/>
      <c r="JW922" s="1311"/>
      <c r="JX922" s="1311"/>
      <c r="JY922" s="1311"/>
      <c r="JZ922" s="1311"/>
      <c r="KA922" s="1955"/>
      <c r="KB922" s="1955"/>
      <c r="KC922" s="1955"/>
      <c r="KD922" s="1955"/>
      <c r="KE922" s="1955"/>
      <c r="KF922" s="1955"/>
      <c r="KG922" s="1955"/>
      <c r="KH922" s="1955"/>
      <c r="KI922" s="1955"/>
      <c r="KJ922" s="1955"/>
      <c r="KK922" s="1955"/>
      <c r="KL922" s="1955"/>
      <c r="KM922" s="1955"/>
      <c r="KN922" s="1955"/>
      <c r="KO922" s="1955"/>
      <c r="KP922" s="1955"/>
      <c r="KQ922" s="1955"/>
      <c r="KR922" s="1955"/>
      <c r="KS922" s="1955"/>
      <c r="KT922" s="1955"/>
      <c r="KU922" s="1955"/>
      <c r="KV922" s="1955"/>
      <c r="KW922" s="1955"/>
      <c r="KX922" s="1955"/>
      <c r="KY922" s="1955"/>
      <c r="KZ922" s="1955"/>
      <c r="LA922" s="1955"/>
      <c r="LB922" s="1955"/>
      <c r="LC922" s="1955"/>
      <c r="LD922" s="1955"/>
      <c r="LE922" s="1955"/>
      <c r="LF922" s="1955"/>
      <c r="LG922" s="1311"/>
      <c r="LH922" s="1311"/>
      <c r="LI922" s="1311"/>
      <c r="LJ922" s="1311"/>
      <c r="LK922" s="1311"/>
      <c r="LL922" s="1311"/>
      <c r="LM922" s="1311"/>
      <c r="LN922" s="1311"/>
      <c r="LO922" s="1311"/>
      <c r="LP922" s="1311"/>
      <c r="LQ922" s="1311"/>
      <c r="LR922" s="1311"/>
      <c r="LS922" s="1311"/>
      <c r="LT922" s="1311"/>
      <c r="LU922" s="1311"/>
      <c r="LV922" s="1311"/>
      <c r="LW922" s="1311"/>
      <c r="LX922" s="1311"/>
      <c r="LY922" s="1311"/>
      <c r="LZ922" s="1311"/>
      <c r="MA922" s="1311"/>
      <c r="MB922" s="1311"/>
      <c r="MC922" s="1311"/>
      <c r="MD922" s="1311"/>
      <c r="ME922" s="1311"/>
      <c r="MF922" s="1311"/>
      <c r="MG922" s="1311"/>
      <c r="MH922" s="1311"/>
      <c r="MI922" s="1311"/>
      <c r="MJ922" s="1311"/>
      <c r="MK922" s="1311"/>
      <c r="ML922" s="1311"/>
      <c r="MM922" s="1311"/>
      <c r="MN922" s="1311"/>
      <c r="MO922" s="1311"/>
      <c r="MP922" s="1311"/>
      <c r="MQ922" s="1311"/>
      <c r="MR922" s="1311"/>
      <c r="MS922" s="1311"/>
    </row>
    <row r="923" spans="1:357">
      <c r="A923" s="2014"/>
      <c r="B923" s="1311"/>
      <c r="C923" s="1311"/>
      <c r="D923" s="1311"/>
      <c r="E923" s="1311"/>
      <c r="F923" s="1311"/>
      <c r="G923" s="1311"/>
      <c r="H923" s="1311"/>
      <c r="I923" s="1311"/>
      <c r="J923" s="1311"/>
      <c r="K923" s="1311"/>
      <c r="L923" s="1311"/>
      <c r="M923" s="1311"/>
      <c r="N923" s="1311"/>
      <c r="O923" s="1311"/>
      <c r="P923" s="1311"/>
      <c r="Q923" s="1311"/>
      <c r="R923" s="1311"/>
      <c r="S923" s="1311"/>
      <c r="T923" s="1311"/>
      <c r="U923" s="1311"/>
      <c r="V923" s="1311"/>
      <c r="W923" s="1311"/>
      <c r="X923" s="1311"/>
      <c r="Y923" s="1311"/>
      <c r="Z923" s="1311"/>
      <c r="AA923" s="1311"/>
      <c r="AB923" s="1311"/>
      <c r="AC923" s="1311"/>
      <c r="AD923" s="1311"/>
      <c r="AE923" s="1311"/>
      <c r="AF923" s="1311"/>
      <c r="AG923" s="1311"/>
      <c r="AH923" s="1311"/>
      <c r="AI923" s="1311"/>
      <c r="AJ923" s="1311"/>
      <c r="AK923" s="1311"/>
      <c r="AL923" s="1311"/>
      <c r="AM923" s="1311"/>
      <c r="AN923" s="1311"/>
      <c r="AO923" s="1311"/>
      <c r="AP923" s="1311"/>
      <c r="AQ923" s="1311"/>
      <c r="AR923" s="1311"/>
      <c r="AS923" s="1311"/>
      <c r="AT923" s="1311"/>
      <c r="AU923" s="1311"/>
      <c r="AV923" s="1311"/>
      <c r="AW923" s="1311"/>
      <c r="AX923" s="1311"/>
      <c r="AY923" s="1311"/>
      <c r="AZ923" s="1311"/>
      <c r="BA923" s="1311"/>
      <c r="BB923" s="1311"/>
      <c r="BC923" s="1311"/>
      <c r="BD923" s="1311"/>
      <c r="BE923" s="1311"/>
      <c r="BF923" s="1311"/>
      <c r="BG923" s="1311"/>
      <c r="BH923" s="1311"/>
      <c r="BI923" s="1311"/>
      <c r="BJ923" s="1311"/>
      <c r="BK923" s="1311"/>
      <c r="BL923" s="1311"/>
      <c r="BM923" s="1311"/>
      <c r="BN923" s="1311"/>
      <c r="BO923" s="1311"/>
      <c r="BP923" s="1311"/>
      <c r="BQ923" s="1311"/>
      <c r="BR923" s="1311"/>
      <c r="BS923" s="1311"/>
      <c r="BT923" s="1311"/>
      <c r="BU923" s="1311"/>
      <c r="BV923" s="1311"/>
      <c r="BW923" s="1311"/>
      <c r="BX923" s="1311"/>
      <c r="BY923" s="1311"/>
      <c r="BZ923" s="1311"/>
      <c r="CA923" s="1311"/>
      <c r="CB923" s="1311"/>
      <c r="CC923" s="1311"/>
      <c r="CD923" s="1311"/>
      <c r="CE923" s="1311"/>
      <c r="CF923" s="1311"/>
      <c r="CG923" s="1311"/>
      <c r="CH923" s="1311"/>
      <c r="CI923" s="1311"/>
      <c r="CJ923" s="1311"/>
      <c r="CK923" s="1311"/>
      <c r="CL923" s="1311"/>
      <c r="CM923" s="1311"/>
      <c r="CN923" s="1311"/>
      <c r="CO923" s="1311"/>
      <c r="CP923" s="1311"/>
      <c r="CQ923" s="1311"/>
      <c r="CR923" s="1311"/>
      <c r="CS923" s="1311"/>
      <c r="CT923" s="1311"/>
      <c r="CU923" s="1311"/>
      <c r="CV923" s="1311"/>
      <c r="CW923" s="1311"/>
      <c r="CX923" s="1311"/>
      <c r="CY923" s="1311"/>
      <c r="CZ923" s="1311"/>
      <c r="DA923" s="1311"/>
      <c r="DB923" s="1311"/>
      <c r="DC923" s="1311"/>
      <c r="DD923" s="1311"/>
      <c r="DE923" s="1311"/>
      <c r="DF923" s="1311"/>
      <c r="DG923" s="1311"/>
      <c r="DH923" s="1311"/>
      <c r="DI923" s="1311"/>
      <c r="DJ923" s="1311"/>
      <c r="DK923" s="1311"/>
      <c r="DL923" s="1311"/>
      <c r="DM923" s="1311"/>
      <c r="DN923" s="1311"/>
      <c r="DO923" s="1311"/>
      <c r="DP923" s="1311"/>
      <c r="DQ923" s="1311"/>
      <c r="DR923" s="1311"/>
      <c r="DS923" s="1311"/>
      <c r="DT923" s="1311"/>
      <c r="DU923" s="1311"/>
      <c r="DV923" s="1311"/>
      <c r="DW923" s="1311"/>
      <c r="DX923" s="1311"/>
      <c r="DY923" s="1311"/>
      <c r="DZ923" s="1311"/>
      <c r="EA923" s="1311"/>
      <c r="EB923" s="1311"/>
      <c r="EC923" s="1311"/>
      <c r="ED923" s="1311"/>
      <c r="EE923" s="1311"/>
      <c r="EF923" s="1311"/>
      <c r="EG923" s="1311"/>
      <c r="EH923" s="1311"/>
      <c r="EI923" s="1311"/>
      <c r="EJ923" s="1311"/>
      <c r="EK923" s="1311"/>
      <c r="EL923" s="1311"/>
      <c r="EM923" s="1311"/>
      <c r="EN923" s="1311"/>
      <c r="EO923" s="1311"/>
      <c r="EP923" s="1311"/>
      <c r="EQ923" s="1311"/>
      <c r="ER923" s="1311"/>
      <c r="ES923" s="1311"/>
      <c r="ET923" s="1311"/>
      <c r="EU923" s="1311"/>
      <c r="EV923" s="1311"/>
      <c r="EW923" s="1311"/>
      <c r="EX923" s="1311"/>
      <c r="EY923" s="1311"/>
      <c r="EZ923" s="1311"/>
      <c r="FA923" s="1311"/>
      <c r="FB923" s="1311"/>
      <c r="FC923" s="1311"/>
      <c r="FD923" s="1311"/>
      <c r="FE923" s="1311"/>
      <c r="FF923" s="1311"/>
      <c r="FG923" s="1311"/>
      <c r="FH923" s="1311"/>
      <c r="FI923" s="1311"/>
      <c r="FJ923" s="1311"/>
      <c r="FK923" s="1311"/>
      <c r="FL923" s="1311"/>
      <c r="FM923" s="1311"/>
      <c r="FN923" s="1311"/>
      <c r="FO923" s="1311"/>
      <c r="FP923" s="1311"/>
      <c r="FQ923" s="1311"/>
      <c r="FR923" s="1311"/>
      <c r="FS923" s="1311"/>
      <c r="FT923" s="1311"/>
      <c r="FU923" s="1311"/>
      <c r="FV923" s="1311"/>
      <c r="FW923" s="1311"/>
      <c r="FX923" s="1311"/>
      <c r="FY923" s="1311"/>
      <c r="FZ923" s="1311"/>
      <c r="GA923" s="1311"/>
      <c r="GB923" s="1311"/>
      <c r="GC923" s="1311"/>
      <c r="GD923" s="1311"/>
      <c r="GE923" s="1311"/>
      <c r="GF923" s="1311"/>
      <c r="GG923" s="1311"/>
      <c r="GH923" s="1311"/>
      <c r="GI923" s="1311"/>
      <c r="GJ923" s="1311"/>
      <c r="GK923" s="1311"/>
      <c r="GL923" s="1311"/>
      <c r="GM923" s="1311"/>
      <c r="GN923" s="1311"/>
      <c r="GO923" s="1311"/>
      <c r="GP923" s="1311"/>
      <c r="GQ923" s="1311"/>
      <c r="GR923" s="1311"/>
      <c r="GS923" s="1311"/>
      <c r="GT923" s="1311"/>
      <c r="GU923" s="1311"/>
      <c r="GV923" s="1311"/>
      <c r="GW923" s="1311"/>
      <c r="GX923" s="1311"/>
      <c r="GY923" s="1311"/>
      <c r="GZ923" s="1311"/>
      <c r="HA923" s="1311"/>
      <c r="HB923" s="1311"/>
      <c r="HC923" s="1311"/>
      <c r="HD923" s="1311"/>
      <c r="HE923" s="1311"/>
      <c r="HF923" s="1311"/>
      <c r="HG923" s="1311"/>
      <c r="HH923" s="1311"/>
      <c r="HI923" s="1311"/>
      <c r="HJ923" s="1311"/>
      <c r="HK923" s="1311"/>
      <c r="HL923" s="1311"/>
      <c r="HM923" s="1311"/>
      <c r="HN923" s="1311"/>
      <c r="HO923" s="1311"/>
      <c r="HP923" s="1311"/>
      <c r="HQ923" s="1311"/>
      <c r="HR923" s="1311"/>
      <c r="HS923" s="1311"/>
      <c r="HT923" s="1311"/>
      <c r="HU923" s="1311"/>
      <c r="HV923" s="1311"/>
      <c r="HW923" s="1311"/>
      <c r="HX923" s="1311"/>
      <c r="HY923" s="1311"/>
      <c r="HZ923" s="1311"/>
      <c r="IA923" s="1311"/>
      <c r="IB923" s="1311"/>
      <c r="IC923" s="1311"/>
      <c r="ID923" s="1311"/>
      <c r="IE923" s="1311"/>
      <c r="IF923" s="1311"/>
      <c r="IG923" s="1311"/>
      <c r="IH923" s="1311"/>
      <c r="II923" s="1311"/>
      <c r="IJ923" s="1311"/>
      <c r="IK923" s="1311"/>
      <c r="IL923" s="1311"/>
      <c r="IM923" s="1311"/>
      <c r="IN923" s="1311"/>
      <c r="IO923" s="1311"/>
      <c r="IP923" s="1311"/>
      <c r="IQ923" s="1311"/>
      <c r="IR923" s="1311"/>
      <c r="IS923" s="1311"/>
      <c r="IT923" s="1311"/>
      <c r="IU923" s="1311"/>
      <c r="IV923" s="1311"/>
      <c r="IW923" s="1311"/>
      <c r="IX923" s="1311"/>
      <c r="IY923" s="1311"/>
      <c r="IZ923" s="1311"/>
      <c r="JA923" s="1311"/>
      <c r="JB923" s="1311"/>
      <c r="JC923" s="1311"/>
      <c r="JD923" s="1311"/>
      <c r="JE923" s="1311"/>
      <c r="JF923" s="1311"/>
      <c r="JG923" s="1311"/>
      <c r="JH923" s="1311"/>
      <c r="JI923" s="1311"/>
      <c r="JJ923" s="1311"/>
      <c r="JK923" s="1311"/>
      <c r="JL923" s="1311"/>
      <c r="JM923" s="1311"/>
      <c r="JN923" s="1311"/>
      <c r="JO923" s="1311"/>
      <c r="JP923" s="1311"/>
      <c r="JQ923" s="1311"/>
      <c r="JR923" s="1311"/>
      <c r="JS923" s="1311"/>
      <c r="JT923" s="1311"/>
      <c r="JU923" s="1311"/>
      <c r="JV923" s="1955"/>
      <c r="JW923" s="1311"/>
      <c r="JX923" s="1311"/>
      <c r="JY923" s="1311"/>
      <c r="JZ923" s="1311"/>
      <c r="KA923" s="1955"/>
      <c r="KB923" s="1955"/>
      <c r="KC923" s="1955"/>
      <c r="KD923" s="1955"/>
      <c r="KE923" s="1955"/>
      <c r="KF923" s="1955"/>
      <c r="KG923" s="1955"/>
      <c r="KH923" s="1955"/>
      <c r="KI923" s="1955"/>
      <c r="KJ923" s="1955"/>
      <c r="KK923" s="1955"/>
      <c r="KL923" s="1955"/>
      <c r="KM923" s="1955"/>
      <c r="KN923" s="1955"/>
      <c r="KO923" s="1955"/>
      <c r="KP923" s="1955"/>
      <c r="KQ923" s="1955"/>
      <c r="KR923" s="1955"/>
      <c r="KS923" s="1955"/>
      <c r="KT923" s="1955"/>
      <c r="KU923" s="1955"/>
      <c r="KV923" s="1955"/>
      <c r="KW923" s="1955"/>
      <c r="KX923" s="1955"/>
      <c r="KY923" s="1955"/>
      <c r="KZ923" s="1955"/>
      <c r="LA923" s="1955"/>
      <c r="LB923" s="1955"/>
      <c r="LC923" s="1955"/>
      <c r="LD923" s="1955"/>
      <c r="LE923" s="1955"/>
      <c r="LF923" s="1955"/>
      <c r="LG923" s="1311"/>
      <c r="LH923" s="1311"/>
      <c r="LI923" s="1311"/>
      <c r="LJ923" s="1311"/>
      <c r="LK923" s="1311"/>
      <c r="LL923" s="1311"/>
      <c r="LM923" s="1311"/>
      <c r="LN923" s="1311"/>
      <c r="LO923" s="1311"/>
      <c r="LP923" s="1311"/>
      <c r="LQ923" s="1311"/>
      <c r="LR923" s="1311"/>
      <c r="LS923" s="1311"/>
      <c r="LT923" s="1311"/>
      <c r="LU923" s="1311"/>
      <c r="LV923" s="1311"/>
      <c r="LW923" s="1311"/>
      <c r="LX923" s="1311"/>
      <c r="LY923" s="1311"/>
      <c r="LZ923" s="1311"/>
      <c r="MA923" s="1311"/>
      <c r="MB923" s="1311"/>
      <c r="MC923" s="1311"/>
      <c r="MD923" s="1311"/>
      <c r="ME923" s="1311"/>
      <c r="MF923" s="1311"/>
      <c r="MG923" s="1311"/>
      <c r="MH923" s="1311"/>
      <c r="MI923" s="1311"/>
      <c r="MJ923" s="1311"/>
      <c r="MK923" s="1311"/>
      <c r="ML923" s="1311"/>
      <c r="MM923" s="1311"/>
      <c r="MN923" s="1311"/>
      <c r="MO923" s="1311"/>
      <c r="MP923" s="1311"/>
      <c r="MQ923" s="1311"/>
      <c r="MR923" s="1311"/>
      <c r="MS923" s="1311"/>
    </row>
    <row r="924" spans="1:357">
      <c r="A924" s="2014"/>
      <c r="B924" s="1311"/>
      <c r="C924" s="1311"/>
      <c r="D924" s="1311"/>
      <c r="E924" s="1311"/>
      <c r="F924" s="1311"/>
      <c r="G924" s="1311"/>
      <c r="H924" s="1311"/>
      <c r="I924" s="1311"/>
      <c r="J924" s="1311"/>
      <c r="K924" s="1311"/>
      <c r="L924" s="1311"/>
      <c r="M924" s="1311"/>
      <c r="N924" s="1311"/>
      <c r="O924" s="1311"/>
      <c r="P924" s="1311"/>
      <c r="Q924" s="1311"/>
      <c r="R924" s="1311"/>
      <c r="S924" s="1311"/>
      <c r="T924" s="1311"/>
      <c r="U924" s="1311"/>
      <c r="V924" s="1311"/>
      <c r="W924" s="1311"/>
      <c r="X924" s="1311"/>
      <c r="Y924" s="1311"/>
      <c r="Z924" s="1311"/>
      <c r="AA924" s="1311"/>
      <c r="AB924" s="1311"/>
      <c r="AC924" s="1311"/>
      <c r="AD924" s="1311"/>
      <c r="AE924" s="1311"/>
      <c r="AF924" s="1311"/>
      <c r="AG924" s="1311"/>
      <c r="AH924" s="1311"/>
      <c r="AI924" s="1311"/>
      <c r="AJ924" s="1311"/>
      <c r="AK924" s="1311"/>
      <c r="AL924" s="1311"/>
      <c r="AM924" s="1311"/>
      <c r="AN924" s="1311"/>
      <c r="AO924" s="1311"/>
      <c r="AP924" s="1311"/>
      <c r="AQ924" s="1311"/>
      <c r="AR924" s="1311"/>
      <c r="AS924" s="1311"/>
      <c r="AT924" s="1311"/>
      <c r="AU924" s="1311"/>
      <c r="AV924" s="1311"/>
      <c r="AW924" s="1311"/>
      <c r="AX924" s="1311"/>
      <c r="AY924" s="1311"/>
      <c r="AZ924" s="1311"/>
      <c r="BA924" s="1311"/>
      <c r="BB924" s="1311"/>
      <c r="BC924" s="1311"/>
      <c r="BD924" s="1311"/>
      <c r="BE924" s="1311"/>
      <c r="BF924" s="1311"/>
      <c r="BG924" s="1311"/>
      <c r="BH924" s="1311"/>
      <c r="BI924" s="1311"/>
      <c r="BJ924" s="1311"/>
      <c r="BK924" s="1311"/>
      <c r="BL924" s="1311"/>
      <c r="BM924" s="1311"/>
      <c r="BN924" s="1311"/>
      <c r="BO924" s="1311"/>
      <c r="BP924" s="1311"/>
      <c r="BQ924" s="1311"/>
      <c r="BR924" s="1311"/>
      <c r="BS924" s="1311"/>
      <c r="BT924" s="1311"/>
      <c r="BU924" s="1311"/>
      <c r="BV924" s="1311"/>
      <c r="BW924" s="1311"/>
      <c r="BX924" s="1311"/>
      <c r="BY924" s="1311"/>
      <c r="BZ924" s="1311"/>
      <c r="CA924" s="1311"/>
      <c r="CB924" s="1311"/>
      <c r="CC924" s="1311"/>
      <c r="CD924" s="1311"/>
      <c r="CE924" s="1311"/>
      <c r="CF924" s="1311"/>
      <c r="CG924" s="1311"/>
      <c r="CH924" s="1311"/>
      <c r="CI924" s="1311"/>
      <c r="CJ924" s="1311"/>
      <c r="CK924" s="1311"/>
      <c r="CL924" s="1311"/>
      <c r="CM924" s="1311"/>
      <c r="CN924" s="1311"/>
      <c r="CO924" s="1311"/>
      <c r="CP924" s="1311"/>
      <c r="CQ924" s="1311"/>
      <c r="CR924" s="1311"/>
      <c r="CS924" s="1311"/>
      <c r="CT924" s="1311"/>
      <c r="CU924" s="1311"/>
      <c r="CV924" s="1311"/>
      <c r="CW924" s="1311"/>
      <c r="CX924" s="1311"/>
      <c r="CY924" s="1311"/>
      <c r="CZ924" s="1311"/>
      <c r="DA924" s="1311"/>
      <c r="DB924" s="1311"/>
      <c r="DC924" s="1311"/>
      <c r="DD924" s="1311"/>
      <c r="DE924" s="1311"/>
      <c r="DF924" s="1311"/>
      <c r="DG924" s="1311"/>
      <c r="DH924" s="1311"/>
      <c r="DI924" s="1311"/>
      <c r="DJ924" s="1311"/>
      <c r="DK924" s="1311"/>
      <c r="DL924" s="1311"/>
      <c r="DM924" s="1311"/>
      <c r="DN924" s="1311"/>
      <c r="DO924" s="1311"/>
      <c r="DP924" s="1311"/>
      <c r="DQ924" s="1311"/>
      <c r="DR924" s="1311"/>
      <c r="DS924" s="1311"/>
      <c r="DT924" s="1311"/>
      <c r="DU924" s="1311"/>
      <c r="DV924" s="1311"/>
      <c r="DW924" s="1311"/>
      <c r="DX924" s="1311"/>
      <c r="DY924" s="1311"/>
      <c r="DZ924" s="1311"/>
      <c r="EA924" s="1311"/>
      <c r="EB924" s="1311"/>
      <c r="EC924" s="1311"/>
      <c r="ED924" s="1311"/>
      <c r="EE924" s="1311"/>
      <c r="EF924" s="1311"/>
      <c r="EG924" s="1311"/>
      <c r="EH924" s="1311"/>
      <c r="EI924" s="1311"/>
      <c r="EJ924" s="1311"/>
      <c r="EK924" s="1311"/>
      <c r="EL924" s="1311"/>
      <c r="EM924" s="1311"/>
      <c r="EN924" s="1311"/>
      <c r="EO924" s="1311"/>
      <c r="EP924" s="1311"/>
      <c r="EQ924" s="1311"/>
      <c r="ER924" s="1311"/>
      <c r="ES924" s="1311"/>
      <c r="ET924" s="1311"/>
      <c r="EU924" s="1311"/>
      <c r="EV924" s="1311"/>
      <c r="EW924" s="1311"/>
      <c r="EX924" s="1311"/>
      <c r="EY924" s="1311"/>
      <c r="EZ924" s="1311"/>
      <c r="FA924" s="1311"/>
      <c r="FB924" s="1311"/>
      <c r="FC924" s="1311"/>
      <c r="FD924" s="1311"/>
      <c r="FE924" s="1311"/>
      <c r="FF924" s="1311"/>
      <c r="FG924" s="1311"/>
      <c r="FH924" s="1311"/>
      <c r="FI924" s="1311"/>
      <c r="FJ924" s="1311"/>
      <c r="FK924" s="1311"/>
      <c r="FL924" s="1311"/>
      <c r="FM924" s="1311"/>
      <c r="FN924" s="1311"/>
      <c r="FO924" s="1311"/>
      <c r="FP924" s="1311"/>
      <c r="FQ924" s="1311"/>
      <c r="FR924" s="1311"/>
      <c r="FS924" s="1311"/>
      <c r="FT924" s="1311"/>
      <c r="FU924" s="1311"/>
      <c r="FV924" s="1311"/>
      <c r="FW924" s="1311"/>
      <c r="FX924" s="1311"/>
      <c r="FY924" s="1311"/>
      <c r="FZ924" s="1311"/>
      <c r="GA924" s="1311"/>
      <c r="GB924" s="1311"/>
      <c r="GC924" s="1311"/>
      <c r="GD924" s="1311"/>
      <c r="GE924" s="1311"/>
      <c r="GF924" s="1311"/>
      <c r="GG924" s="1311"/>
      <c r="GH924" s="1311"/>
      <c r="GI924" s="1311"/>
      <c r="GJ924" s="1311"/>
      <c r="GK924" s="1311"/>
      <c r="GL924" s="1311"/>
      <c r="GM924" s="1311"/>
      <c r="GN924" s="1311"/>
      <c r="GO924" s="1311"/>
      <c r="GP924" s="1311"/>
      <c r="GQ924" s="1311"/>
      <c r="GR924" s="1311"/>
      <c r="GS924" s="1311"/>
      <c r="GT924" s="1311"/>
      <c r="GU924" s="1311"/>
      <c r="GV924" s="1311"/>
      <c r="GW924" s="1311"/>
      <c r="GX924" s="1311"/>
      <c r="GY924" s="1311"/>
      <c r="GZ924" s="1311"/>
      <c r="HA924" s="1311"/>
      <c r="HB924" s="1311"/>
      <c r="HC924" s="1311"/>
      <c r="HD924" s="1311"/>
      <c r="HE924" s="1311"/>
      <c r="HF924" s="1311"/>
      <c r="HG924" s="1311"/>
      <c r="HH924" s="1311"/>
      <c r="HI924" s="1311"/>
      <c r="HJ924" s="1311"/>
      <c r="HK924" s="1311"/>
      <c r="HL924" s="1311"/>
      <c r="HM924" s="1311"/>
      <c r="HN924" s="1311"/>
      <c r="HO924" s="1311"/>
      <c r="HP924" s="1311"/>
      <c r="HQ924" s="1311"/>
      <c r="HR924" s="1311"/>
      <c r="HS924" s="1311"/>
      <c r="HT924" s="1311"/>
      <c r="HU924" s="1311"/>
      <c r="HV924" s="1311"/>
      <c r="HW924" s="1311"/>
      <c r="HX924" s="1311"/>
      <c r="HY924" s="1311"/>
      <c r="HZ924" s="1311"/>
      <c r="IA924" s="1311"/>
      <c r="IB924" s="1311"/>
      <c r="IC924" s="1311"/>
      <c r="ID924" s="1311"/>
      <c r="IE924" s="1311"/>
      <c r="IF924" s="1311"/>
      <c r="IG924" s="1311"/>
      <c r="IH924" s="1311"/>
      <c r="II924" s="1311"/>
      <c r="IJ924" s="1311"/>
      <c r="IK924" s="1311"/>
      <c r="IL924" s="1311"/>
      <c r="IM924" s="1311"/>
      <c r="IN924" s="1311"/>
      <c r="IO924" s="1311"/>
      <c r="IP924" s="1311"/>
      <c r="IQ924" s="1311"/>
      <c r="IR924" s="1311"/>
      <c r="IS924" s="1311"/>
      <c r="IT924" s="1311"/>
      <c r="IU924" s="1311"/>
      <c r="IV924" s="1311"/>
      <c r="IW924" s="1311"/>
      <c r="IX924" s="1311"/>
      <c r="IY924" s="1311"/>
      <c r="IZ924" s="1311"/>
      <c r="JA924" s="1311"/>
      <c r="JB924" s="1311"/>
      <c r="JC924" s="1311"/>
      <c r="JD924" s="1311"/>
      <c r="JE924" s="1311"/>
      <c r="JF924" s="1311"/>
      <c r="JG924" s="1311"/>
      <c r="JH924" s="1311"/>
      <c r="JI924" s="1311"/>
      <c r="JJ924" s="1311"/>
      <c r="JK924" s="1311"/>
      <c r="JL924" s="1311"/>
      <c r="JM924" s="1311"/>
      <c r="JN924" s="1311"/>
      <c r="JO924" s="1311"/>
      <c r="JP924" s="1311"/>
      <c r="JQ924" s="1311"/>
      <c r="JR924" s="1311"/>
      <c r="JS924" s="1311"/>
      <c r="JT924" s="1311"/>
      <c r="JU924" s="1311"/>
      <c r="JV924" s="1955"/>
      <c r="JW924" s="1311"/>
      <c r="JX924" s="1311"/>
      <c r="JY924" s="1311"/>
      <c r="JZ924" s="1311"/>
      <c r="KA924" s="1955"/>
      <c r="KB924" s="1955"/>
      <c r="KC924" s="1955"/>
      <c r="KD924" s="1955"/>
      <c r="KE924" s="1955"/>
      <c r="KF924" s="1955"/>
      <c r="KG924" s="1955"/>
      <c r="KH924" s="1955"/>
      <c r="KI924" s="1955"/>
      <c r="KJ924" s="1955"/>
      <c r="KK924" s="1955"/>
      <c r="KL924" s="1955"/>
      <c r="KM924" s="1955"/>
      <c r="KN924" s="1955"/>
      <c r="KO924" s="1955"/>
      <c r="KP924" s="1955"/>
      <c r="KQ924" s="1955"/>
      <c r="KR924" s="1955"/>
      <c r="KS924" s="1955"/>
      <c r="KT924" s="1955"/>
      <c r="KU924" s="1955"/>
      <c r="KV924" s="1955"/>
      <c r="KW924" s="1955"/>
      <c r="KX924" s="1955"/>
      <c r="KY924" s="1955"/>
      <c r="KZ924" s="1955"/>
      <c r="LA924" s="1955"/>
      <c r="LB924" s="1955"/>
      <c r="LC924" s="1955"/>
      <c r="LD924" s="1955"/>
      <c r="LE924" s="1955"/>
      <c r="LF924" s="1955"/>
      <c r="LG924" s="1311"/>
      <c r="LH924" s="1311"/>
      <c r="LI924" s="1311"/>
      <c r="LJ924" s="1311"/>
      <c r="LK924" s="1311"/>
      <c r="LL924" s="1311"/>
      <c r="LM924" s="1311"/>
      <c r="LN924" s="1311"/>
      <c r="LO924" s="1311"/>
      <c r="LP924" s="1311"/>
      <c r="LQ924" s="1311"/>
      <c r="LR924" s="1311"/>
      <c r="LS924" s="1311"/>
      <c r="LT924" s="1311"/>
      <c r="LU924" s="1311"/>
      <c r="LV924" s="1311"/>
      <c r="LW924" s="1311"/>
      <c r="LX924" s="1311"/>
      <c r="LY924" s="1311"/>
      <c r="LZ924" s="1311"/>
      <c r="MA924" s="1311"/>
      <c r="MB924" s="1311"/>
      <c r="MC924" s="1311"/>
      <c r="MD924" s="1311"/>
      <c r="ME924" s="1311"/>
      <c r="MF924" s="1311"/>
      <c r="MG924" s="1311"/>
      <c r="MH924" s="1311"/>
      <c r="MI924" s="1311"/>
      <c r="MJ924" s="1311"/>
      <c r="MK924" s="1311"/>
      <c r="ML924" s="1311"/>
      <c r="MM924" s="1311"/>
      <c r="MN924" s="1311"/>
      <c r="MO924" s="1311"/>
      <c r="MP924" s="1311"/>
      <c r="MQ924" s="1311"/>
      <c r="MR924" s="1311"/>
      <c r="MS924" s="1311"/>
    </row>
    <row r="925" spans="1:357">
      <c r="A925" s="1955"/>
      <c r="B925" s="1311"/>
      <c r="C925" s="1311"/>
      <c r="D925" s="1311"/>
      <c r="E925" s="1311"/>
      <c r="F925" s="1311"/>
      <c r="G925" s="1311"/>
      <c r="H925" s="1311"/>
      <c r="I925" s="1311"/>
      <c r="J925" s="1311"/>
      <c r="K925" s="1311"/>
      <c r="L925" s="1311"/>
      <c r="M925" s="1311"/>
      <c r="N925" s="1311"/>
      <c r="O925" s="1311"/>
      <c r="P925" s="1311"/>
      <c r="Q925" s="1311"/>
      <c r="R925" s="1311"/>
      <c r="S925" s="1311"/>
      <c r="T925" s="1311"/>
      <c r="U925" s="1311"/>
      <c r="V925" s="1311"/>
      <c r="W925" s="1311"/>
      <c r="X925" s="1311"/>
      <c r="Y925" s="1311"/>
      <c r="Z925" s="1311"/>
      <c r="AA925" s="1311"/>
      <c r="AB925" s="1311"/>
      <c r="AC925" s="1311"/>
      <c r="AD925" s="1311"/>
      <c r="AE925" s="1311"/>
      <c r="AF925" s="1311"/>
      <c r="AG925" s="1311"/>
      <c r="AH925" s="1311"/>
      <c r="AI925" s="1311"/>
      <c r="AJ925" s="1311"/>
      <c r="AK925" s="1311"/>
      <c r="AL925" s="1311"/>
      <c r="AM925" s="1311"/>
      <c r="AN925" s="1311"/>
      <c r="AO925" s="1311"/>
      <c r="AP925" s="1311"/>
      <c r="AQ925" s="1311"/>
      <c r="AR925" s="1311"/>
      <c r="AS925" s="1311"/>
      <c r="AT925" s="1311"/>
      <c r="AU925" s="1311"/>
      <c r="AV925" s="1311"/>
      <c r="AW925" s="1311"/>
      <c r="AX925" s="1311"/>
      <c r="AY925" s="1311"/>
      <c r="AZ925" s="1311"/>
      <c r="BA925" s="1311"/>
      <c r="BB925" s="1311"/>
      <c r="BC925" s="1311"/>
      <c r="BD925" s="1311"/>
      <c r="BE925" s="1311"/>
      <c r="BF925" s="1311"/>
      <c r="BG925" s="1311"/>
      <c r="BH925" s="1311"/>
      <c r="BI925" s="1311"/>
      <c r="BJ925" s="1311"/>
      <c r="BK925" s="1311"/>
      <c r="BL925" s="1311"/>
      <c r="BM925" s="1311"/>
      <c r="BN925" s="1311"/>
      <c r="BO925" s="1311"/>
      <c r="BP925" s="1311"/>
      <c r="BQ925" s="1311"/>
      <c r="BR925" s="1311"/>
      <c r="BS925" s="1311"/>
      <c r="BT925" s="1311"/>
      <c r="BU925" s="1311"/>
      <c r="BV925" s="1311"/>
      <c r="BW925" s="1311"/>
      <c r="BX925" s="1311"/>
      <c r="BY925" s="1311"/>
      <c r="BZ925" s="1311"/>
      <c r="CA925" s="1311"/>
      <c r="CB925" s="1311"/>
      <c r="CC925" s="1311"/>
      <c r="CD925" s="1311"/>
      <c r="CE925" s="1311"/>
      <c r="CF925" s="1311"/>
      <c r="CG925" s="1311"/>
      <c r="CH925" s="1311"/>
      <c r="CI925" s="1311"/>
      <c r="CJ925" s="1311"/>
      <c r="CK925" s="1311"/>
      <c r="CL925" s="1311"/>
      <c r="CM925" s="1311"/>
      <c r="CN925" s="1311"/>
      <c r="CO925" s="1311"/>
      <c r="CP925" s="1311"/>
      <c r="CQ925" s="1311"/>
      <c r="CR925" s="1311"/>
      <c r="CS925" s="1311"/>
      <c r="CT925" s="1311"/>
      <c r="CU925" s="1311"/>
      <c r="CV925" s="1311"/>
      <c r="CW925" s="1311"/>
      <c r="CX925" s="1311"/>
      <c r="CY925" s="1311"/>
      <c r="CZ925" s="1311"/>
      <c r="DA925" s="1311"/>
      <c r="DB925" s="1311"/>
      <c r="DC925" s="1311"/>
      <c r="DD925" s="1311"/>
      <c r="DE925" s="1311"/>
      <c r="DF925" s="1311"/>
      <c r="DG925" s="1311"/>
      <c r="DH925" s="1311"/>
      <c r="DI925" s="1311"/>
      <c r="DJ925" s="1311"/>
      <c r="DK925" s="1311"/>
      <c r="DL925" s="1311"/>
      <c r="DM925" s="1311"/>
      <c r="DN925" s="1311"/>
      <c r="DO925" s="1311"/>
      <c r="DP925" s="1311"/>
      <c r="DQ925" s="1311"/>
      <c r="DR925" s="1311"/>
      <c r="DS925" s="1311"/>
      <c r="DT925" s="1311"/>
      <c r="DU925" s="1311"/>
      <c r="DV925" s="1311"/>
      <c r="DW925" s="1311"/>
      <c r="DX925" s="1311"/>
      <c r="DY925" s="1311"/>
      <c r="DZ925" s="1311"/>
      <c r="EA925" s="1311"/>
      <c r="EB925" s="1311"/>
      <c r="EC925" s="1311"/>
      <c r="ED925" s="1311"/>
      <c r="EE925" s="1311"/>
      <c r="EF925" s="1311"/>
      <c r="EG925" s="1311"/>
      <c r="EH925" s="1311"/>
      <c r="EI925" s="1311"/>
      <c r="EJ925" s="1311"/>
      <c r="EK925" s="1311"/>
      <c r="EL925" s="1311"/>
      <c r="EM925" s="1311"/>
      <c r="EN925" s="1311"/>
      <c r="EO925" s="1311"/>
      <c r="EP925" s="1311"/>
      <c r="EQ925" s="1311"/>
      <c r="ER925" s="1311"/>
      <c r="ES925" s="1311"/>
      <c r="ET925" s="1311"/>
      <c r="EU925" s="1311"/>
      <c r="EV925" s="1311"/>
      <c r="EW925" s="1311"/>
      <c r="EX925" s="1311"/>
      <c r="EY925" s="1311"/>
      <c r="EZ925" s="1311"/>
      <c r="FA925" s="1311"/>
      <c r="FB925" s="1311"/>
      <c r="FC925" s="1311"/>
      <c r="FD925" s="1311"/>
      <c r="FE925" s="1311"/>
      <c r="FF925" s="1311"/>
      <c r="FG925" s="1311"/>
      <c r="FH925" s="1311"/>
      <c r="FI925" s="1311"/>
      <c r="FJ925" s="1311"/>
      <c r="FK925" s="1311"/>
      <c r="FL925" s="1311"/>
      <c r="FM925" s="1311"/>
      <c r="FN925" s="1311"/>
      <c r="FO925" s="1311"/>
      <c r="FP925" s="1311"/>
      <c r="FQ925" s="1311"/>
      <c r="FR925" s="1311"/>
      <c r="FS925" s="1311"/>
      <c r="FT925" s="1311"/>
      <c r="FU925" s="1311"/>
      <c r="FV925" s="1311"/>
      <c r="FW925" s="1311"/>
      <c r="FX925" s="1311"/>
      <c r="FY925" s="1311"/>
      <c r="FZ925" s="1311"/>
      <c r="GA925" s="1311"/>
      <c r="GB925" s="1311"/>
      <c r="GC925" s="1311"/>
      <c r="GD925" s="1311"/>
      <c r="GE925" s="1311"/>
      <c r="GF925" s="1311"/>
      <c r="GG925" s="1311"/>
      <c r="GH925" s="1311"/>
      <c r="GI925" s="1311"/>
      <c r="GJ925" s="1311"/>
      <c r="GK925" s="1311"/>
      <c r="GL925" s="1311"/>
      <c r="GM925" s="1311"/>
      <c r="GN925" s="1311"/>
      <c r="GO925" s="1311"/>
      <c r="GP925" s="1311"/>
      <c r="GQ925" s="1311"/>
      <c r="GR925" s="1311"/>
      <c r="GS925" s="1311"/>
      <c r="GT925" s="1311"/>
      <c r="GU925" s="1311"/>
      <c r="GV925" s="1311"/>
      <c r="GW925" s="1311"/>
      <c r="GX925" s="1311"/>
      <c r="GY925" s="1311"/>
      <c r="GZ925" s="1311"/>
      <c r="HA925" s="1311"/>
      <c r="HB925" s="1311"/>
      <c r="HC925" s="1311"/>
      <c r="HD925" s="1311"/>
      <c r="HE925" s="1311"/>
      <c r="HF925" s="1311"/>
      <c r="HG925" s="1311"/>
      <c r="HH925" s="1311"/>
      <c r="HI925" s="1311"/>
      <c r="HJ925" s="1311"/>
      <c r="HK925" s="1311"/>
      <c r="HL925" s="1311"/>
      <c r="HM925" s="1311"/>
      <c r="HN925" s="1311"/>
      <c r="HO925" s="1311"/>
      <c r="HP925" s="1311"/>
      <c r="HQ925" s="1311"/>
      <c r="HR925" s="1311"/>
      <c r="HS925" s="1311"/>
      <c r="HT925" s="1311"/>
      <c r="HU925" s="1311"/>
      <c r="HV925" s="1311"/>
      <c r="HW925" s="1311"/>
      <c r="HX925" s="1311"/>
      <c r="HY925" s="1311"/>
      <c r="HZ925" s="1311"/>
      <c r="IA925" s="1311"/>
      <c r="IB925" s="1311"/>
      <c r="IC925" s="1311"/>
      <c r="ID925" s="1311"/>
      <c r="IE925" s="1311"/>
      <c r="IF925" s="1311"/>
      <c r="IG925" s="1311"/>
      <c r="IH925" s="1311"/>
      <c r="II925" s="1311"/>
      <c r="IJ925" s="1311"/>
      <c r="IK925" s="1311"/>
      <c r="IL925" s="1311"/>
      <c r="IM925" s="1311"/>
      <c r="IN925" s="1311"/>
      <c r="IO925" s="1311"/>
      <c r="IP925" s="1311"/>
      <c r="IQ925" s="1311"/>
      <c r="IR925" s="1311"/>
      <c r="IS925" s="1311"/>
      <c r="IT925" s="1311"/>
      <c r="IU925" s="1311"/>
      <c r="IV925" s="1311"/>
      <c r="IW925" s="1311"/>
      <c r="IX925" s="1311"/>
      <c r="IY925" s="1311"/>
      <c r="IZ925" s="1311"/>
      <c r="JA925" s="1311"/>
      <c r="JB925" s="1311"/>
      <c r="JC925" s="1311"/>
      <c r="JD925" s="1311"/>
      <c r="JE925" s="1311"/>
      <c r="JF925" s="1311"/>
      <c r="JG925" s="1311"/>
      <c r="JH925" s="1311"/>
      <c r="JI925" s="1311"/>
      <c r="JJ925" s="1311"/>
      <c r="JK925" s="1311"/>
      <c r="JL925" s="1311"/>
      <c r="JM925" s="1311"/>
      <c r="JN925" s="1311"/>
      <c r="JO925" s="1311"/>
      <c r="JP925" s="1311"/>
      <c r="JQ925" s="1311"/>
      <c r="JR925" s="1311"/>
      <c r="JS925" s="1311"/>
      <c r="JT925" s="1311"/>
      <c r="JU925" s="1311"/>
      <c r="JV925" s="1955"/>
      <c r="JW925" s="1311"/>
      <c r="JX925" s="1311"/>
      <c r="JY925" s="1311"/>
      <c r="JZ925" s="1311"/>
      <c r="KA925" s="1955"/>
      <c r="KB925" s="1955"/>
      <c r="KC925" s="1955"/>
      <c r="KD925" s="1955"/>
      <c r="KE925" s="1955"/>
      <c r="KF925" s="1955"/>
      <c r="KG925" s="1955"/>
      <c r="KH925" s="1955"/>
      <c r="KI925" s="1955"/>
      <c r="KJ925" s="1955"/>
      <c r="KK925" s="1955"/>
      <c r="KL925" s="1955"/>
      <c r="KM925" s="1955"/>
      <c r="KN925" s="1955"/>
      <c r="KO925" s="1955"/>
      <c r="KP925" s="1955"/>
      <c r="KQ925" s="1955"/>
      <c r="KR925" s="1955"/>
      <c r="KS925" s="1955"/>
      <c r="KT925" s="1955"/>
      <c r="KU925" s="1955"/>
      <c r="KV925" s="1955"/>
      <c r="KW925" s="1955"/>
      <c r="KX925" s="1955"/>
      <c r="KY925" s="1955"/>
      <c r="KZ925" s="1955"/>
      <c r="LA925" s="1955"/>
      <c r="LB925" s="1955"/>
      <c r="LC925" s="1955"/>
      <c r="LD925" s="1955"/>
      <c r="LE925" s="1955"/>
      <c r="LF925" s="1955"/>
      <c r="LG925" s="1311"/>
      <c r="LH925" s="1311"/>
      <c r="LI925" s="1311"/>
      <c r="LJ925" s="1311"/>
      <c r="LK925" s="1311"/>
      <c r="LL925" s="1311"/>
      <c r="LM925" s="1311"/>
      <c r="LN925" s="1311"/>
      <c r="LO925" s="1311"/>
      <c r="LP925" s="1311"/>
      <c r="LQ925" s="1311"/>
      <c r="LR925" s="1311"/>
      <c r="LS925" s="1311"/>
      <c r="LT925" s="1311"/>
      <c r="LU925" s="1311"/>
      <c r="LV925" s="1311"/>
      <c r="LW925" s="1311"/>
      <c r="LX925" s="1311"/>
      <c r="LY925" s="1311"/>
      <c r="LZ925" s="1311"/>
      <c r="MA925" s="1311"/>
      <c r="MB925" s="1311"/>
      <c r="MC925" s="1311"/>
      <c r="MD925" s="1311"/>
      <c r="ME925" s="1311"/>
      <c r="MF925" s="1311"/>
      <c r="MG925" s="1311"/>
      <c r="MH925" s="1311"/>
      <c r="MI925" s="1311"/>
      <c r="MJ925" s="1311"/>
      <c r="MK925" s="1311"/>
      <c r="ML925" s="1311"/>
      <c r="MM925" s="1311"/>
      <c r="MN925" s="1311"/>
      <c r="MO925" s="1311"/>
      <c r="MP925" s="1311"/>
      <c r="MQ925" s="1311"/>
      <c r="MR925" s="1311"/>
      <c r="MS925" s="1311"/>
    </row>
    <row r="926" spans="1:357">
      <c r="A926" s="1311"/>
      <c r="B926" s="1311"/>
      <c r="C926" s="1311"/>
      <c r="D926" s="1311"/>
      <c r="E926" s="1311"/>
      <c r="F926" s="1311"/>
      <c r="G926" s="1311"/>
      <c r="H926" s="1311"/>
      <c r="I926" s="1311"/>
      <c r="J926" s="1311"/>
      <c r="K926" s="1311"/>
      <c r="L926" s="1311"/>
      <c r="M926" s="1311"/>
      <c r="N926" s="1311"/>
      <c r="O926" s="1311"/>
      <c r="P926" s="1311"/>
      <c r="Q926" s="1311"/>
      <c r="R926" s="1311"/>
      <c r="S926" s="1311"/>
      <c r="T926" s="1311"/>
      <c r="U926" s="1311"/>
      <c r="V926" s="1311"/>
      <c r="W926" s="1311"/>
      <c r="X926" s="1311"/>
      <c r="Y926" s="1311"/>
      <c r="Z926" s="1311"/>
      <c r="AA926" s="1311"/>
      <c r="AB926" s="1311"/>
      <c r="AC926" s="1311"/>
      <c r="AD926" s="1311"/>
      <c r="AE926" s="1311"/>
      <c r="AF926" s="1311"/>
      <c r="AG926" s="1311"/>
      <c r="AH926" s="1311"/>
      <c r="AI926" s="1311"/>
      <c r="AJ926" s="1311"/>
      <c r="AK926" s="1311"/>
      <c r="AL926" s="1311"/>
      <c r="AM926" s="1311"/>
      <c r="AN926" s="1311"/>
      <c r="AO926" s="1311"/>
      <c r="AP926" s="1311"/>
      <c r="AQ926" s="1311"/>
      <c r="AR926" s="1311"/>
      <c r="AS926" s="1311"/>
      <c r="AT926" s="1311"/>
      <c r="AU926" s="1311"/>
      <c r="AV926" s="1311"/>
      <c r="AW926" s="1311"/>
      <c r="AX926" s="1311"/>
      <c r="AY926" s="1311"/>
      <c r="AZ926" s="1311"/>
      <c r="BA926" s="1311"/>
      <c r="BB926" s="1311"/>
      <c r="BC926" s="1311"/>
      <c r="BD926" s="1311"/>
      <c r="BE926" s="1311"/>
      <c r="BF926" s="1311"/>
      <c r="BG926" s="1311"/>
      <c r="BH926" s="1311"/>
      <c r="BI926" s="1311"/>
      <c r="BJ926" s="1311"/>
      <c r="BK926" s="1311"/>
      <c r="BL926" s="1311"/>
      <c r="BM926" s="1311"/>
      <c r="BN926" s="1311"/>
      <c r="BO926" s="1311"/>
      <c r="BP926" s="1311"/>
      <c r="BQ926" s="1311"/>
      <c r="BR926" s="1311"/>
      <c r="BS926" s="1311"/>
      <c r="BT926" s="1311"/>
      <c r="BU926" s="1311"/>
      <c r="BV926" s="1311"/>
      <c r="BW926" s="1311"/>
      <c r="BX926" s="1311"/>
      <c r="BY926" s="1311"/>
      <c r="BZ926" s="1311"/>
      <c r="CA926" s="1311"/>
      <c r="CB926" s="1311"/>
      <c r="CC926" s="1311"/>
      <c r="CD926" s="1311"/>
      <c r="CE926" s="1311"/>
      <c r="CF926" s="1311"/>
      <c r="CG926" s="1311"/>
      <c r="CH926" s="1311"/>
      <c r="CI926" s="1311"/>
      <c r="CJ926" s="1311"/>
      <c r="CK926" s="1311"/>
      <c r="CL926" s="1311"/>
      <c r="CM926" s="1311"/>
      <c r="CN926" s="1311"/>
      <c r="CO926" s="1311"/>
      <c r="CP926" s="1311"/>
      <c r="CQ926" s="1311"/>
      <c r="CR926" s="1311"/>
      <c r="CS926" s="1311"/>
      <c r="CT926" s="1311"/>
      <c r="CU926" s="1311"/>
      <c r="CV926" s="1311"/>
      <c r="CW926" s="1311"/>
      <c r="CX926" s="1311"/>
      <c r="CY926" s="1311"/>
      <c r="CZ926" s="1311"/>
      <c r="DA926" s="1311"/>
      <c r="DB926" s="1311"/>
      <c r="DC926" s="1311"/>
      <c r="DD926" s="1311"/>
      <c r="DE926" s="1311"/>
      <c r="DF926" s="1311"/>
      <c r="DG926" s="1311"/>
      <c r="DH926" s="1311"/>
      <c r="DI926" s="1311"/>
      <c r="DJ926" s="1311"/>
      <c r="DK926" s="1311"/>
      <c r="DL926" s="1311"/>
      <c r="DM926" s="1311"/>
      <c r="DN926" s="1311"/>
      <c r="DO926" s="1311"/>
      <c r="DP926" s="1311"/>
      <c r="DQ926" s="1311"/>
      <c r="DR926" s="1311"/>
      <c r="DS926" s="1311"/>
      <c r="DT926" s="1311"/>
      <c r="DU926" s="1311"/>
      <c r="DV926" s="1311"/>
      <c r="DW926" s="1311"/>
      <c r="DX926" s="1311"/>
      <c r="DY926" s="1311"/>
      <c r="DZ926" s="1311"/>
      <c r="EA926" s="1311"/>
      <c r="EB926" s="1311"/>
      <c r="EC926" s="1311"/>
      <c r="ED926" s="1311"/>
      <c r="EE926" s="1311"/>
      <c r="EF926" s="1311"/>
      <c r="EG926" s="1311"/>
      <c r="EH926" s="1311"/>
      <c r="EI926" s="1311"/>
      <c r="EJ926" s="1311"/>
      <c r="EK926" s="1311"/>
      <c r="EL926" s="1311"/>
      <c r="EM926" s="1311"/>
      <c r="EN926" s="1311"/>
      <c r="EO926" s="1311"/>
      <c r="EP926" s="1311"/>
      <c r="EQ926" s="1311"/>
      <c r="ER926" s="1311"/>
      <c r="ES926" s="1311"/>
      <c r="ET926" s="1311"/>
      <c r="EU926" s="1311"/>
      <c r="EV926" s="1311"/>
      <c r="EW926" s="1311"/>
      <c r="EX926" s="1311"/>
      <c r="EY926" s="1311"/>
      <c r="EZ926" s="1311"/>
      <c r="FA926" s="1311"/>
      <c r="FB926" s="1311"/>
      <c r="FC926" s="1311"/>
      <c r="FD926" s="1311"/>
      <c r="FE926" s="1311"/>
      <c r="FF926" s="1311"/>
      <c r="FG926" s="1311"/>
      <c r="FH926" s="1311"/>
      <c r="FI926" s="1311"/>
      <c r="FJ926" s="1311"/>
      <c r="FK926" s="1311"/>
      <c r="FL926" s="1311"/>
      <c r="FM926" s="1311"/>
      <c r="FN926" s="1311"/>
      <c r="FO926" s="1311"/>
      <c r="FP926" s="1311"/>
      <c r="FQ926" s="1311"/>
      <c r="FR926" s="1311"/>
      <c r="FS926" s="1311"/>
      <c r="FT926" s="1311"/>
      <c r="FU926" s="1311"/>
      <c r="FV926" s="1311"/>
      <c r="FW926" s="1311"/>
      <c r="FX926" s="1311"/>
      <c r="FY926" s="1311"/>
      <c r="FZ926" s="1311"/>
      <c r="GA926" s="1311"/>
      <c r="GB926" s="1311"/>
      <c r="GC926" s="1311"/>
      <c r="GD926" s="1311"/>
      <c r="GE926" s="1311"/>
      <c r="GF926" s="1311"/>
      <c r="GG926" s="1311"/>
      <c r="GH926" s="1311"/>
      <c r="GI926" s="1311"/>
      <c r="GJ926" s="1311"/>
      <c r="GK926" s="1311"/>
      <c r="GL926" s="1311"/>
      <c r="GM926" s="1311"/>
      <c r="GN926" s="1311"/>
      <c r="GO926" s="1311"/>
      <c r="GP926" s="1311"/>
      <c r="GQ926" s="1311"/>
      <c r="GR926" s="1311"/>
      <c r="GS926" s="1311"/>
      <c r="GT926" s="1311"/>
      <c r="GU926" s="1311"/>
      <c r="GV926" s="1311"/>
      <c r="GW926" s="1311"/>
      <c r="GX926" s="1311"/>
      <c r="GY926" s="1311"/>
      <c r="GZ926" s="1311"/>
      <c r="HA926" s="1311"/>
      <c r="HB926" s="1311"/>
      <c r="HC926" s="1311"/>
      <c r="HD926" s="1311"/>
      <c r="HE926" s="1311"/>
      <c r="HF926" s="1311"/>
      <c r="HG926" s="1311"/>
      <c r="HH926" s="1311"/>
      <c r="HI926" s="1311"/>
      <c r="HJ926" s="1311"/>
      <c r="HK926" s="1311"/>
      <c r="HL926" s="1311"/>
      <c r="HM926" s="1311"/>
      <c r="HN926" s="1311"/>
      <c r="HO926" s="1311"/>
      <c r="HP926" s="1311"/>
      <c r="HQ926" s="1311"/>
      <c r="HR926" s="1311"/>
      <c r="HS926" s="1311"/>
      <c r="HT926" s="1311"/>
      <c r="HU926" s="1311"/>
      <c r="HV926" s="1311"/>
      <c r="HW926" s="1311"/>
      <c r="HX926" s="1311"/>
      <c r="HY926" s="1311"/>
      <c r="HZ926" s="1311"/>
      <c r="IA926" s="1311"/>
      <c r="IB926" s="1311"/>
      <c r="IC926" s="1311"/>
      <c r="ID926" s="1311"/>
      <c r="IE926" s="1311"/>
      <c r="IF926" s="1311"/>
      <c r="IG926" s="1311"/>
      <c r="IH926" s="1311"/>
      <c r="II926" s="1311"/>
      <c r="IJ926" s="1311"/>
      <c r="IK926" s="1311"/>
      <c r="IL926" s="1311"/>
      <c r="IM926" s="1311"/>
      <c r="IN926" s="1311"/>
      <c r="IO926" s="1311"/>
      <c r="IP926" s="1311"/>
      <c r="IQ926" s="1311"/>
      <c r="IR926" s="1311"/>
      <c r="IS926" s="1311"/>
      <c r="IT926" s="1311"/>
      <c r="IU926" s="1311"/>
      <c r="IV926" s="1311"/>
      <c r="IW926" s="1311"/>
      <c r="IX926" s="1311"/>
      <c r="IY926" s="1311"/>
      <c r="IZ926" s="1311"/>
      <c r="JA926" s="1311"/>
      <c r="JB926" s="1311"/>
      <c r="JC926" s="1311"/>
      <c r="JD926" s="1311"/>
      <c r="JE926" s="1311"/>
      <c r="JF926" s="1311"/>
      <c r="JG926" s="1311"/>
      <c r="JH926" s="1311"/>
      <c r="JI926" s="1311"/>
      <c r="JJ926" s="1311"/>
      <c r="JK926" s="1311"/>
      <c r="JL926" s="1311"/>
      <c r="JM926" s="1311"/>
      <c r="JN926" s="1311"/>
      <c r="JO926" s="1311"/>
      <c r="JP926" s="1311"/>
      <c r="JQ926" s="1311"/>
      <c r="JR926" s="1311"/>
      <c r="JS926" s="1311"/>
      <c r="JT926" s="1311"/>
      <c r="JU926" s="1311"/>
      <c r="JV926" s="1955"/>
      <c r="JW926" s="1311"/>
      <c r="JX926" s="1311"/>
      <c r="JY926" s="1311"/>
      <c r="JZ926" s="1311"/>
      <c r="KA926" s="1955"/>
      <c r="KB926" s="1955"/>
      <c r="KC926" s="1955"/>
      <c r="KD926" s="1955"/>
      <c r="KE926" s="1955"/>
      <c r="KF926" s="1955"/>
      <c r="KG926" s="1955"/>
      <c r="KH926" s="1955"/>
      <c r="KI926" s="1955"/>
      <c r="KJ926" s="1955"/>
      <c r="KK926" s="1955"/>
      <c r="KL926" s="1955"/>
      <c r="KM926" s="1955"/>
      <c r="KN926" s="1955"/>
      <c r="KO926" s="1955"/>
      <c r="KP926" s="1955"/>
      <c r="KQ926" s="1955"/>
      <c r="KR926" s="1955"/>
      <c r="KS926" s="1955"/>
      <c r="KT926" s="1955"/>
      <c r="KU926" s="1955"/>
      <c r="KV926" s="1955"/>
      <c r="KW926" s="1955"/>
      <c r="KX926" s="1955"/>
      <c r="KY926" s="1955"/>
      <c r="KZ926" s="1955"/>
      <c r="LA926" s="1955"/>
      <c r="LB926" s="1955"/>
      <c r="LC926" s="1955"/>
      <c r="LD926" s="1955"/>
      <c r="LE926" s="1955"/>
      <c r="LF926" s="1955"/>
      <c r="LG926" s="1311"/>
      <c r="LH926" s="1311"/>
      <c r="LI926" s="1311"/>
      <c r="LJ926" s="1311"/>
      <c r="LK926" s="1311"/>
      <c r="LL926" s="1311"/>
      <c r="LM926" s="1311"/>
      <c r="LN926" s="1311"/>
      <c r="LO926" s="1311"/>
      <c r="LP926" s="1311"/>
      <c r="LQ926" s="1311"/>
      <c r="LR926" s="1311"/>
      <c r="LS926" s="1311"/>
      <c r="LT926" s="1311"/>
      <c r="LU926" s="1311"/>
      <c r="LV926" s="1311"/>
      <c r="LW926" s="1311"/>
      <c r="LX926" s="1311"/>
      <c r="LY926" s="1311"/>
      <c r="LZ926" s="1311"/>
      <c r="MA926" s="1311"/>
      <c r="MB926" s="1311"/>
      <c r="MC926" s="1311"/>
      <c r="MD926" s="1311"/>
      <c r="ME926" s="1311"/>
      <c r="MF926" s="1311"/>
      <c r="MG926" s="1311"/>
      <c r="MH926" s="1311"/>
      <c r="MI926" s="1311"/>
      <c r="MJ926" s="1311"/>
      <c r="MK926" s="1311"/>
      <c r="ML926" s="1311"/>
      <c r="MM926" s="1311"/>
      <c r="MN926" s="1311"/>
      <c r="MO926" s="1311"/>
      <c r="MP926" s="1311"/>
      <c r="MQ926" s="1311"/>
      <c r="MR926" s="1311"/>
      <c r="MS926" s="1311"/>
    </row>
    <row r="927" spans="1:357">
      <c r="JV927" s="1953"/>
      <c r="KA927" s="1953"/>
      <c r="KB927" s="1953"/>
      <c r="KC927" s="1953"/>
      <c r="KD927" s="1953"/>
      <c r="KE927" s="1953"/>
      <c r="KF927" s="1953"/>
      <c r="KG927" s="1953"/>
      <c r="KH927" s="1953"/>
      <c r="KI927" s="1953"/>
      <c r="KJ927" s="1953"/>
      <c r="KK927" s="1953"/>
      <c r="KL927" s="1953"/>
      <c r="KM927" s="1953"/>
      <c r="KN927" s="1953"/>
      <c r="KO927" s="1953"/>
      <c r="KP927" s="1953"/>
      <c r="KQ927" s="1953"/>
      <c r="KR927" s="1953"/>
      <c r="KS927" s="1953"/>
      <c r="KT927" s="1953"/>
      <c r="KU927" s="1953"/>
      <c r="KV927" s="1953"/>
      <c r="KW927" s="1953"/>
      <c r="KX927" s="1953"/>
      <c r="KY927" s="1953"/>
      <c r="KZ927" s="1953"/>
      <c r="LA927" s="1953"/>
      <c r="LB927" s="1953"/>
      <c r="LC927" s="1953"/>
      <c r="LD927" s="1953"/>
      <c r="LE927" s="1953"/>
      <c r="LF927" s="1953"/>
    </row>
    <row r="928" spans="1:357">
      <c r="JV928" s="1953"/>
      <c r="KA928" s="1953"/>
      <c r="KB928" s="1953"/>
      <c r="KC928" s="1953"/>
      <c r="KD928" s="1953"/>
      <c r="KE928" s="1953"/>
      <c r="KF928" s="1953"/>
      <c r="KG928" s="1953"/>
      <c r="KH928" s="1953"/>
      <c r="KI928" s="1953"/>
      <c r="KJ928" s="1953"/>
      <c r="KK928" s="1953"/>
      <c r="KL928" s="1953"/>
      <c r="KM928" s="1953"/>
      <c r="KN928" s="1953"/>
      <c r="KO928" s="1953"/>
      <c r="KP928" s="1953"/>
      <c r="KQ928" s="1953"/>
      <c r="KR928" s="1953"/>
      <c r="KS928" s="1953"/>
      <c r="KT928" s="1953"/>
      <c r="KU928" s="1953"/>
      <c r="KV928" s="1953"/>
      <c r="KW928" s="1953"/>
      <c r="KX928" s="1953"/>
      <c r="KY928" s="1953"/>
      <c r="KZ928" s="1953"/>
      <c r="LA928" s="1953"/>
      <c r="LB928" s="1953"/>
      <c r="LC928" s="1953"/>
      <c r="LD928" s="1953"/>
      <c r="LE928" s="1953"/>
      <c r="LF928" s="1953"/>
    </row>
    <row r="929" spans="1:357">
      <c r="JV929" s="1953"/>
      <c r="KA929" s="1953"/>
      <c r="KB929" s="1953"/>
      <c r="KC929" s="1953"/>
      <c r="KD929" s="1953"/>
      <c r="KE929" s="1953"/>
      <c r="KF929" s="1953"/>
      <c r="KG929" s="1953"/>
      <c r="KH929" s="1953"/>
      <c r="KI929" s="1953"/>
      <c r="KJ929" s="1953"/>
      <c r="KK929" s="1953"/>
      <c r="KL929" s="1953"/>
      <c r="KM929" s="1953"/>
      <c r="KN929" s="1953"/>
      <c r="KO929" s="1953"/>
      <c r="KP929" s="1953"/>
      <c r="KQ929" s="1953"/>
      <c r="KR929" s="1953"/>
      <c r="KS929" s="1953"/>
      <c r="KT929" s="1953"/>
      <c r="KU929" s="1953"/>
      <c r="KV929" s="1953"/>
      <c r="KW929" s="1953"/>
      <c r="KX929" s="1953"/>
      <c r="KY929" s="1953"/>
      <c r="KZ929" s="1953"/>
      <c r="LA929" s="1953"/>
      <c r="LB929" s="1953"/>
      <c r="LC929" s="1953"/>
      <c r="LD929" s="1953"/>
      <c r="LE929" s="1953"/>
      <c r="LF929" s="1953"/>
    </row>
    <row r="930" spans="1:357">
      <c r="JV930" s="1953"/>
      <c r="KA930" s="1953"/>
      <c r="KB930" s="1953"/>
      <c r="KC930" s="1953"/>
      <c r="KD930" s="1953"/>
      <c r="KE930" s="1953"/>
      <c r="KF930" s="1953"/>
      <c r="KG930" s="1953"/>
      <c r="KH930" s="1953"/>
      <c r="KI930" s="1953"/>
      <c r="KJ930" s="1953"/>
      <c r="KK930" s="1953"/>
      <c r="KL930" s="1953"/>
      <c r="KM930" s="1953"/>
      <c r="KN930" s="1953"/>
      <c r="KO930" s="1953"/>
      <c r="KP930" s="1953"/>
      <c r="KQ930" s="1953"/>
      <c r="KR930" s="1953"/>
      <c r="KS930" s="1953"/>
      <c r="KT930" s="1953"/>
      <c r="KU930" s="1953"/>
      <c r="KV930" s="1953"/>
      <c r="KW930" s="1953"/>
      <c r="KX930" s="1953"/>
      <c r="KY930" s="1953"/>
      <c r="KZ930" s="1953"/>
      <c r="LA930" s="1953"/>
      <c r="LB930" s="1953"/>
      <c r="LC930" s="1953"/>
      <c r="LD930" s="1953"/>
      <c r="LE930" s="1953"/>
      <c r="LF930" s="1953"/>
    </row>
    <row r="931" spans="1:357">
      <c r="A931" s="2014"/>
      <c r="B931" s="1311"/>
      <c r="C931" s="1311"/>
      <c r="D931" s="1311"/>
      <c r="E931" s="1311"/>
      <c r="F931" s="1311"/>
      <c r="G931" s="1311"/>
      <c r="H931" s="1311"/>
      <c r="I931" s="1311"/>
      <c r="J931" s="1311"/>
      <c r="K931" s="1311"/>
      <c r="L931" s="1311"/>
      <c r="M931" s="1311"/>
      <c r="N931" s="1311"/>
      <c r="O931" s="1311"/>
      <c r="P931" s="1311"/>
      <c r="Q931" s="1311"/>
      <c r="R931" s="1311"/>
      <c r="S931" s="1311"/>
      <c r="T931" s="1311"/>
      <c r="U931" s="1311"/>
      <c r="V931" s="1311"/>
      <c r="W931" s="1311"/>
      <c r="X931" s="1311"/>
      <c r="Y931" s="1311"/>
      <c r="Z931" s="1311"/>
      <c r="AA931" s="1311"/>
      <c r="AB931" s="1311"/>
      <c r="AC931" s="1311"/>
      <c r="AD931" s="1311"/>
      <c r="AE931" s="1311"/>
      <c r="AF931" s="1311"/>
      <c r="AG931" s="1311"/>
      <c r="AH931" s="1311"/>
      <c r="AI931" s="1311"/>
      <c r="AJ931" s="1311"/>
      <c r="AK931" s="1311"/>
      <c r="AL931" s="1311"/>
      <c r="AM931" s="1311"/>
      <c r="AN931" s="1311"/>
      <c r="AO931" s="1311"/>
      <c r="AP931" s="1311"/>
      <c r="AQ931" s="1311"/>
      <c r="AR931" s="1311"/>
      <c r="AS931" s="1311"/>
      <c r="AT931" s="1311"/>
      <c r="AU931" s="1311"/>
      <c r="AV931" s="1311"/>
      <c r="AW931" s="1311"/>
      <c r="AX931" s="1311"/>
      <c r="AY931" s="1311"/>
      <c r="AZ931" s="1311"/>
      <c r="BA931" s="1311"/>
      <c r="BB931" s="1311"/>
      <c r="BC931" s="1311"/>
      <c r="BD931" s="1311"/>
      <c r="BE931" s="1311"/>
      <c r="BF931" s="1311"/>
      <c r="BG931" s="1311"/>
      <c r="BH931" s="1311"/>
      <c r="BI931" s="1311"/>
      <c r="BJ931" s="1311"/>
      <c r="BK931" s="1311"/>
      <c r="BL931" s="1311"/>
      <c r="BM931" s="1311"/>
      <c r="BN931" s="1311"/>
      <c r="BO931" s="1311"/>
      <c r="BP931" s="1311"/>
      <c r="BQ931" s="1311"/>
      <c r="BR931" s="1311"/>
      <c r="BS931" s="1311"/>
      <c r="BT931" s="1311"/>
      <c r="BU931" s="1311"/>
      <c r="BV931" s="1311"/>
      <c r="BW931" s="1311"/>
      <c r="BX931" s="1311"/>
      <c r="BY931" s="1311"/>
      <c r="BZ931" s="1311"/>
      <c r="CA931" s="1311"/>
      <c r="CB931" s="1311"/>
      <c r="CC931" s="1311"/>
      <c r="CD931" s="1311"/>
      <c r="CE931" s="1311"/>
      <c r="CF931" s="1311"/>
      <c r="CG931" s="1311"/>
      <c r="CH931" s="1311"/>
      <c r="CI931" s="1311"/>
      <c r="CJ931" s="1311"/>
      <c r="CK931" s="1311"/>
      <c r="CL931" s="1311"/>
      <c r="CM931" s="1311"/>
      <c r="CN931" s="1311"/>
      <c r="CO931" s="1311"/>
      <c r="CP931" s="1311"/>
      <c r="CQ931" s="1311"/>
      <c r="CR931" s="1311"/>
      <c r="CS931" s="1311"/>
      <c r="CT931" s="1311"/>
      <c r="CU931" s="1311"/>
      <c r="CV931" s="1311"/>
      <c r="CW931" s="1311"/>
      <c r="CX931" s="1311"/>
      <c r="CY931" s="1311"/>
      <c r="CZ931" s="1311"/>
      <c r="DA931" s="1311"/>
      <c r="DB931" s="1311"/>
      <c r="DC931" s="1311"/>
      <c r="DD931" s="1311"/>
      <c r="DE931" s="1311"/>
      <c r="DF931" s="1311"/>
      <c r="DG931" s="1311"/>
      <c r="DH931" s="1311"/>
      <c r="DI931" s="1311"/>
      <c r="DJ931" s="1311"/>
      <c r="DK931" s="1311"/>
      <c r="DL931" s="1311"/>
      <c r="DM931" s="1311"/>
      <c r="DN931" s="1311"/>
      <c r="DO931" s="1311"/>
      <c r="DP931" s="1311"/>
      <c r="DQ931" s="1311"/>
      <c r="DR931" s="1311"/>
      <c r="DS931" s="1311"/>
      <c r="DT931" s="1311"/>
      <c r="DU931" s="1311"/>
      <c r="DV931" s="1311"/>
      <c r="DW931" s="1311"/>
      <c r="DX931" s="1311"/>
      <c r="DY931" s="1311"/>
      <c r="DZ931" s="1311"/>
      <c r="EA931" s="1311"/>
      <c r="EB931" s="1311"/>
      <c r="EC931" s="1311"/>
      <c r="ED931" s="1311"/>
      <c r="EE931" s="1311"/>
      <c r="EF931" s="1311"/>
      <c r="EG931" s="1311"/>
      <c r="EH931" s="1311"/>
      <c r="EI931" s="1311"/>
      <c r="EJ931" s="1311"/>
      <c r="EK931" s="1311"/>
      <c r="EL931" s="1311"/>
      <c r="EM931" s="1311"/>
      <c r="EN931" s="1311"/>
      <c r="EO931" s="1311"/>
      <c r="EP931" s="1311"/>
      <c r="EQ931" s="1311"/>
      <c r="ER931" s="1311"/>
      <c r="ES931" s="1311"/>
      <c r="ET931" s="1311"/>
      <c r="EU931" s="1311"/>
      <c r="EV931" s="1311"/>
      <c r="EW931" s="1311"/>
      <c r="EX931" s="1311"/>
      <c r="EY931" s="1311"/>
      <c r="EZ931" s="1311"/>
      <c r="FA931" s="1311"/>
      <c r="FB931" s="1311"/>
      <c r="FC931" s="1311"/>
      <c r="FD931" s="1311"/>
      <c r="FE931" s="1311"/>
      <c r="FF931" s="1311"/>
      <c r="FG931" s="1311"/>
      <c r="FH931" s="1311"/>
      <c r="FI931" s="1311"/>
      <c r="FJ931" s="1311"/>
      <c r="FK931" s="1311"/>
      <c r="FL931" s="1311"/>
      <c r="FM931" s="1311"/>
      <c r="FN931" s="1311"/>
      <c r="FO931" s="1311"/>
      <c r="FP931" s="1311"/>
      <c r="FQ931" s="1311"/>
      <c r="FR931" s="1311"/>
      <c r="FS931" s="1311"/>
      <c r="FT931" s="1311"/>
      <c r="FU931" s="1311"/>
      <c r="FV931" s="1311"/>
      <c r="FW931" s="1311"/>
      <c r="FX931" s="1311"/>
      <c r="FY931" s="1311"/>
      <c r="FZ931" s="1311"/>
      <c r="GA931" s="1311"/>
      <c r="GB931" s="1311"/>
      <c r="GC931" s="1311"/>
      <c r="GD931" s="1311"/>
      <c r="GE931" s="1311"/>
      <c r="GF931" s="1311"/>
      <c r="GG931" s="1311"/>
      <c r="GH931" s="1311"/>
      <c r="GI931" s="1311"/>
      <c r="GJ931" s="1311"/>
      <c r="GK931" s="1311"/>
      <c r="GL931" s="1311"/>
      <c r="GM931" s="1311"/>
      <c r="GN931" s="1311"/>
      <c r="GO931" s="1311"/>
      <c r="GP931" s="1311"/>
      <c r="GQ931" s="1311"/>
      <c r="GR931" s="1311"/>
      <c r="GS931" s="1311"/>
      <c r="GT931" s="1311"/>
      <c r="GU931" s="1311"/>
      <c r="GV931" s="1311"/>
      <c r="GW931" s="1311"/>
      <c r="GX931" s="1311"/>
      <c r="GY931" s="1311"/>
      <c r="GZ931" s="1311"/>
      <c r="HA931" s="1311"/>
      <c r="HB931" s="1311"/>
      <c r="HC931" s="1311"/>
      <c r="HD931" s="1311"/>
      <c r="HE931" s="1311"/>
      <c r="HF931" s="1311"/>
      <c r="HG931" s="1311"/>
      <c r="HH931" s="1311"/>
      <c r="HI931" s="1311"/>
      <c r="HJ931" s="1311"/>
      <c r="HK931" s="1311"/>
      <c r="HL931" s="1311"/>
      <c r="HM931" s="1311"/>
      <c r="HN931" s="1311"/>
      <c r="HO931" s="1311"/>
      <c r="HP931" s="1311"/>
      <c r="HQ931" s="1311"/>
      <c r="HR931" s="1311"/>
      <c r="HS931" s="1311"/>
      <c r="HT931" s="1311"/>
      <c r="HU931" s="1311"/>
      <c r="HV931" s="1311"/>
      <c r="HW931" s="1311"/>
      <c r="HX931" s="1311"/>
      <c r="HY931" s="1311"/>
      <c r="HZ931" s="1311"/>
      <c r="IA931" s="1311"/>
      <c r="IB931" s="1311"/>
      <c r="IC931" s="1311"/>
      <c r="ID931" s="1311"/>
      <c r="IE931" s="1311"/>
      <c r="IF931" s="1311"/>
      <c r="IG931" s="1311"/>
      <c r="IH931" s="1311"/>
      <c r="II931" s="1311"/>
      <c r="IJ931" s="1311"/>
      <c r="IK931" s="1311"/>
      <c r="IL931" s="1311"/>
      <c r="IM931" s="1311"/>
      <c r="IN931" s="1311"/>
      <c r="IO931" s="1311"/>
      <c r="IP931" s="1311"/>
      <c r="IQ931" s="1311"/>
      <c r="IR931" s="1311"/>
      <c r="IS931" s="1311"/>
      <c r="IT931" s="1311"/>
      <c r="IU931" s="1311"/>
      <c r="IV931" s="1311"/>
      <c r="IW931" s="1311"/>
      <c r="IX931" s="1311"/>
      <c r="IY931" s="1311"/>
      <c r="IZ931" s="1311"/>
      <c r="JA931" s="1311"/>
      <c r="JB931" s="1311"/>
      <c r="JC931" s="1311"/>
      <c r="JD931" s="1311"/>
      <c r="JE931" s="1311"/>
      <c r="JF931" s="1311"/>
      <c r="JG931" s="1311"/>
      <c r="JH931" s="1311"/>
      <c r="JI931" s="1311"/>
      <c r="JJ931" s="1311"/>
      <c r="JK931" s="1311"/>
      <c r="JL931" s="1311"/>
      <c r="JM931" s="1311"/>
      <c r="JN931" s="1311"/>
      <c r="JO931" s="1311"/>
      <c r="JP931" s="1311"/>
      <c r="JQ931" s="1311"/>
      <c r="JR931" s="1311"/>
      <c r="JS931" s="1311"/>
      <c r="JT931" s="1311"/>
      <c r="JU931" s="1311"/>
      <c r="JV931" s="1955"/>
      <c r="JW931" s="1311"/>
      <c r="JX931" s="1311"/>
      <c r="JY931" s="1311"/>
      <c r="JZ931" s="1311"/>
      <c r="KA931" s="1955"/>
      <c r="KB931" s="1955"/>
      <c r="KC931" s="1955"/>
      <c r="KD931" s="1955"/>
      <c r="KE931" s="1955"/>
      <c r="KF931" s="1955"/>
      <c r="KG931" s="1955"/>
      <c r="KH931" s="1955"/>
      <c r="KI931" s="1955"/>
      <c r="KJ931" s="1955"/>
      <c r="KK931" s="1955"/>
      <c r="KL931" s="1955"/>
      <c r="KM931" s="1955"/>
      <c r="KN931" s="1955"/>
      <c r="KO931" s="1955"/>
      <c r="KP931" s="1955"/>
      <c r="KQ931" s="1955"/>
      <c r="KR931" s="1955"/>
      <c r="KS931" s="1955"/>
      <c r="KT931" s="1955"/>
      <c r="KU931" s="1955"/>
      <c r="KV931" s="1955"/>
      <c r="KW931" s="1955"/>
      <c r="KX931" s="1955"/>
      <c r="KY931" s="1955"/>
      <c r="KZ931" s="1955"/>
      <c r="LA931" s="1955"/>
      <c r="LB931" s="1955"/>
      <c r="LC931" s="1955"/>
      <c r="LD931" s="1955"/>
      <c r="LE931" s="1955"/>
      <c r="LF931" s="1955"/>
      <c r="LG931" s="1311"/>
      <c r="LH931" s="1311"/>
      <c r="LI931" s="1311"/>
      <c r="LJ931" s="1311"/>
      <c r="LK931" s="1311"/>
      <c r="LL931" s="1311"/>
      <c r="LM931" s="1311"/>
      <c r="LN931" s="1311"/>
      <c r="LO931" s="1311"/>
      <c r="LP931" s="1311"/>
      <c r="LQ931" s="1311"/>
      <c r="LR931" s="1311"/>
      <c r="LS931" s="1311"/>
      <c r="LT931" s="1311"/>
      <c r="LU931" s="1311"/>
      <c r="LV931" s="1311"/>
      <c r="LW931" s="1311"/>
      <c r="LX931" s="1311"/>
      <c r="LY931" s="1311"/>
      <c r="LZ931" s="1311"/>
      <c r="MA931" s="1311"/>
      <c r="MB931" s="1311"/>
      <c r="MC931" s="1311"/>
      <c r="MD931" s="1311"/>
      <c r="ME931" s="1311"/>
      <c r="MF931" s="1311"/>
      <c r="MG931" s="1311"/>
      <c r="MH931" s="1311"/>
      <c r="MI931" s="1311"/>
      <c r="MJ931" s="1311"/>
      <c r="MK931" s="1311"/>
      <c r="ML931" s="1311"/>
      <c r="MM931" s="1311"/>
      <c r="MN931" s="1311"/>
      <c r="MO931" s="1311"/>
      <c r="MP931" s="1311"/>
      <c r="MQ931" s="1311"/>
      <c r="MR931" s="1311"/>
      <c r="MS931" s="1311"/>
    </row>
    <row r="932" spans="1:357">
      <c r="A932" s="2014"/>
      <c r="B932" s="1311"/>
      <c r="C932" s="1311"/>
      <c r="D932" s="1311"/>
      <c r="E932" s="1311"/>
      <c r="F932" s="1311"/>
      <c r="G932" s="1311"/>
      <c r="H932" s="1311"/>
      <c r="I932" s="1311"/>
      <c r="J932" s="1311"/>
      <c r="K932" s="1311"/>
      <c r="L932" s="1311"/>
      <c r="M932" s="1311"/>
      <c r="N932" s="1311"/>
      <c r="O932" s="1311"/>
      <c r="P932" s="1311"/>
      <c r="Q932" s="1311"/>
      <c r="R932" s="1311"/>
      <c r="S932" s="1311"/>
      <c r="T932" s="1311"/>
      <c r="U932" s="1311"/>
      <c r="V932" s="1311"/>
      <c r="W932" s="1311"/>
      <c r="X932" s="1311"/>
      <c r="Y932" s="1311"/>
      <c r="Z932" s="1311"/>
      <c r="AA932" s="1311"/>
      <c r="AB932" s="1311"/>
      <c r="AC932" s="1311"/>
      <c r="AD932" s="1311"/>
      <c r="AE932" s="1311"/>
      <c r="AF932" s="1311"/>
      <c r="AG932" s="1311"/>
      <c r="AH932" s="1311"/>
      <c r="AI932" s="1311"/>
      <c r="AJ932" s="1311"/>
      <c r="AK932" s="1311"/>
      <c r="AL932" s="1311"/>
      <c r="AM932" s="1311"/>
      <c r="AN932" s="1311"/>
      <c r="AO932" s="1311"/>
      <c r="AP932" s="1311"/>
      <c r="AQ932" s="1311"/>
      <c r="AR932" s="1311"/>
      <c r="AS932" s="1311"/>
      <c r="AT932" s="1311"/>
      <c r="AU932" s="1311"/>
      <c r="AV932" s="1311"/>
      <c r="AW932" s="1311"/>
      <c r="AX932" s="1311"/>
      <c r="AY932" s="1311"/>
      <c r="AZ932" s="1311"/>
      <c r="BA932" s="1311"/>
      <c r="BB932" s="1311"/>
      <c r="BC932" s="1311"/>
      <c r="BD932" s="1311"/>
      <c r="BE932" s="1311"/>
      <c r="BF932" s="1311"/>
      <c r="BG932" s="1311"/>
      <c r="BH932" s="1311"/>
      <c r="BI932" s="1311"/>
      <c r="BJ932" s="1311"/>
      <c r="BK932" s="1311"/>
      <c r="BL932" s="1311"/>
      <c r="BM932" s="1311"/>
      <c r="BN932" s="1311"/>
      <c r="BO932" s="1311"/>
      <c r="BP932" s="1311"/>
      <c r="BQ932" s="1311"/>
      <c r="BR932" s="1311"/>
      <c r="BS932" s="1311"/>
      <c r="BT932" s="1311"/>
      <c r="BU932" s="1311"/>
      <c r="BV932" s="1311"/>
      <c r="BW932" s="1311"/>
      <c r="BX932" s="1311"/>
      <c r="BY932" s="1311"/>
      <c r="BZ932" s="1311"/>
      <c r="CA932" s="1311"/>
      <c r="CB932" s="1311"/>
      <c r="CC932" s="1311"/>
      <c r="CD932" s="1311"/>
      <c r="CE932" s="1311"/>
      <c r="CF932" s="1311"/>
      <c r="CG932" s="1311"/>
      <c r="CH932" s="1311"/>
      <c r="CI932" s="1311"/>
      <c r="CJ932" s="1311"/>
      <c r="CK932" s="1311"/>
      <c r="CL932" s="1311"/>
      <c r="CM932" s="1311"/>
      <c r="CN932" s="1311"/>
      <c r="CO932" s="1311"/>
      <c r="CP932" s="1311"/>
      <c r="CQ932" s="1311"/>
      <c r="CR932" s="1311"/>
      <c r="CS932" s="1311"/>
      <c r="CT932" s="1311"/>
      <c r="CU932" s="1311"/>
      <c r="CV932" s="1311"/>
      <c r="CW932" s="1311"/>
      <c r="CX932" s="1311"/>
      <c r="CY932" s="1311"/>
      <c r="CZ932" s="1311"/>
      <c r="DA932" s="1311"/>
      <c r="DB932" s="1311"/>
      <c r="DC932" s="1311"/>
      <c r="DD932" s="1311"/>
      <c r="DE932" s="1311"/>
      <c r="DF932" s="1311"/>
      <c r="DG932" s="1311"/>
      <c r="DH932" s="1311"/>
      <c r="DI932" s="1311"/>
      <c r="DJ932" s="1311"/>
      <c r="DK932" s="1311"/>
      <c r="DL932" s="1311"/>
      <c r="DM932" s="1311"/>
      <c r="DN932" s="1311"/>
      <c r="DO932" s="1311"/>
      <c r="DP932" s="1311"/>
      <c r="DQ932" s="1311"/>
      <c r="DR932" s="1311"/>
      <c r="DS932" s="1311"/>
      <c r="DT932" s="1311"/>
      <c r="DU932" s="1311"/>
      <c r="DV932" s="1311"/>
      <c r="DW932" s="1311"/>
      <c r="DX932" s="1311"/>
      <c r="DY932" s="1311"/>
      <c r="DZ932" s="1311"/>
      <c r="EA932" s="1311"/>
      <c r="EB932" s="1311"/>
      <c r="EC932" s="1311"/>
      <c r="ED932" s="1311"/>
      <c r="EE932" s="1311"/>
      <c r="EF932" s="1311"/>
      <c r="EG932" s="1311"/>
      <c r="EH932" s="1311"/>
      <c r="EI932" s="1311"/>
      <c r="EJ932" s="1311"/>
      <c r="EK932" s="1311"/>
      <c r="EL932" s="1311"/>
      <c r="EM932" s="1311"/>
      <c r="EN932" s="1311"/>
      <c r="EO932" s="1311"/>
      <c r="EP932" s="1311"/>
      <c r="EQ932" s="1311"/>
      <c r="ER932" s="1311"/>
      <c r="ES932" s="1311"/>
      <c r="ET932" s="1311"/>
      <c r="EU932" s="1311"/>
      <c r="EV932" s="1311"/>
      <c r="EW932" s="1311"/>
      <c r="EX932" s="1311"/>
      <c r="EY932" s="1311"/>
      <c r="EZ932" s="1311"/>
      <c r="FA932" s="1311"/>
      <c r="FB932" s="1311"/>
      <c r="FC932" s="1311"/>
      <c r="FD932" s="1311"/>
      <c r="FE932" s="1311"/>
      <c r="FF932" s="1311"/>
      <c r="FG932" s="1311"/>
      <c r="FH932" s="1311"/>
      <c r="FI932" s="1311"/>
      <c r="FJ932" s="1311"/>
      <c r="FK932" s="1311"/>
      <c r="FL932" s="1311"/>
      <c r="FM932" s="1311"/>
      <c r="FN932" s="1311"/>
      <c r="FO932" s="1311"/>
      <c r="FP932" s="1311"/>
      <c r="FQ932" s="1311"/>
      <c r="FR932" s="1311"/>
      <c r="FS932" s="1311"/>
      <c r="FT932" s="1311"/>
      <c r="FU932" s="1311"/>
      <c r="FV932" s="1311"/>
      <c r="FW932" s="1311"/>
      <c r="FX932" s="1311"/>
      <c r="FY932" s="1311"/>
      <c r="FZ932" s="1311"/>
      <c r="GA932" s="1311"/>
      <c r="GB932" s="1311"/>
      <c r="GC932" s="1311"/>
      <c r="GD932" s="1311"/>
      <c r="GE932" s="1311"/>
      <c r="GF932" s="1311"/>
      <c r="GG932" s="1311"/>
      <c r="GH932" s="1311"/>
      <c r="GI932" s="1311"/>
      <c r="GJ932" s="1311"/>
      <c r="GK932" s="1311"/>
      <c r="GL932" s="1311"/>
      <c r="GM932" s="1311"/>
      <c r="GN932" s="1311"/>
      <c r="GO932" s="1311"/>
      <c r="GP932" s="1311"/>
      <c r="GQ932" s="1311"/>
      <c r="GR932" s="1311"/>
      <c r="GS932" s="1311"/>
      <c r="GT932" s="1311"/>
      <c r="GU932" s="1311"/>
      <c r="GV932" s="1311"/>
      <c r="GW932" s="1311"/>
      <c r="GX932" s="1311"/>
      <c r="GY932" s="1311"/>
      <c r="GZ932" s="1311"/>
      <c r="HA932" s="1311"/>
      <c r="HB932" s="1311"/>
      <c r="HC932" s="1311"/>
      <c r="HD932" s="1311"/>
      <c r="HE932" s="1311"/>
      <c r="HF932" s="1311"/>
      <c r="HG932" s="1311"/>
      <c r="HH932" s="1311"/>
      <c r="HI932" s="1311"/>
      <c r="HJ932" s="1311"/>
      <c r="HK932" s="1311"/>
      <c r="HL932" s="1311"/>
      <c r="HM932" s="1311"/>
      <c r="HN932" s="1311"/>
      <c r="HO932" s="1311"/>
      <c r="HP932" s="1311"/>
      <c r="HQ932" s="1311"/>
      <c r="HR932" s="1311"/>
      <c r="HS932" s="1311"/>
      <c r="HT932" s="1311"/>
      <c r="HU932" s="1311"/>
      <c r="HV932" s="1311"/>
      <c r="HW932" s="1311"/>
      <c r="HX932" s="1311"/>
      <c r="HY932" s="1311"/>
      <c r="HZ932" s="1311"/>
      <c r="IA932" s="1311"/>
      <c r="IB932" s="1311"/>
      <c r="IC932" s="1311"/>
      <c r="ID932" s="1311"/>
      <c r="IE932" s="1311"/>
      <c r="IF932" s="1311"/>
      <c r="IG932" s="1311"/>
      <c r="IH932" s="1311"/>
      <c r="II932" s="1311"/>
      <c r="IJ932" s="1311"/>
      <c r="IK932" s="1311"/>
      <c r="IL932" s="1311"/>
      <c r="IM932" s="1311"/>
      <c r="IN932" s="1311"/>
      <c r="IO932" s="1311"/>
      <c r="IP932" s="1311"/>
      <c r="IQ932" s="1311"/>
      <c r="IR932" s="1311"/>
      <c r="IS932" s="1311"/>
      <c r="IT932" s="1311"/>
      <c r="IU932" s="1311"/>
      <c r="IV932" s="1311"/>
      <c r="IW932" s="1311"/>
      <c r="IX932" s="1311"/>
      <c r="IY932" s="1311"/>
      <c r="IZ932" s="1311"/>
      <c r="JA932" s="1311"/>
      <c r="JB932" s="1311"/>
      <c r="JC932" s="1311"/>
      <c r="JD932" s="1311"/>
      <c r="JE932" s="1311"/>
      <c r="JF932" s="1311"/>
      <c r="JG932" s="1311"/>
      <c r="JH932" s="1311"/>
      <c r="JI932" s="1311"/>
      <c r="JJ932" s="1311"/>
      <c r="JK932" s="1311"/>
      <c r="JL932" s="1311"/>
      <c r="JM932" s="1311"/>
      <c r="JN932" s="1311"/>
      <c r="JO932" s="1311"/>
      <c r="JP932" s="1311"/>
      <c r="JQ932" s="1311"/>
      <c r="JR932" s="1311"/>
      <c r="JS932" s="1311"/>
      <c r="JT932" s="1311"/>
      <c r="JU932" s="1311"/>
      <c r="JV932" s="1955"/>
      <c r="JW932" s="1311"/>
      <c r="JX932" s="1311"/>
      <c r="JY932" s="1311"/>
      <c r="JZ932" s="1311"/>
      <c r="KA932" s="1955"/>
      <c r="KB932" s="1955"/>
      <c r="KC932" s="1955"/>
      <c r="KD932" s="1955"/>
      <c r="KE932" s="1955"/>
      <c r="KF932" s="1955"/>
      <c r="KG932" s="1955"/>
      <c r="KH932" s="1955"/>
      <c r="KI932" s="1955"/>
      <c r="KJ932" s="1955"/>
      <c r="KK932" s="1955"/>
      <c r="KL932" s="1955"/>
      <c r="KM932" s="1955"/>
      <c r="KN932" s="1955"/>
      <c r="KO932" s="1955"/>
      <c r="KP932" s="1955"/>
      <c r="KQ932" s="1955"/>
      <c r="KR932" s="1955"/>
      <c r="KS932" s="1955"/>
      <c r="KT932" s="1955"/>
      <c r="KU932" s="1955"/>
      <c r="KV932" s="1955"/>
      <c r="KW932" s="1955"/>
      <c r="KX932" s="1955"/>
      <c r="KY932" s="1955"/>
      <c r="KZ932" s="1955"/>
      <c r="LA932" s="1955"/>
      <c r="LB932" s="1955"/>
      <c r="LC932" s="1955"/>
      <c r="LD932" s="1955"/>
      <c r="LE932" s="1955"/>
      <c r="LF932" s="1955"/>
      <c r="LG932" s="1311"/>
      <c r="LH932" s="1311"/>
      <c r="LI932" s="1311"/>
      <c r="LJ932" s="1311"/>
      <c r="LK932" s="1311"/>
      <c r="LL932" s="1311"/>
      <c r="LM932" s="1311"/>
      <c r="LN932" s="1311"/>
      <c r="LO932" s="1311"/>
      <c r="LP932" s="1311"/>
      <c r="LQ932" s="1311"/>
      <c r="LR932" s="1311"/>
      <c r="LS932" s="1311"/>
      <c r="LT932" s="1311"/>
      <c r="LU932" s="1311"/>
      <c r="LV932" s="1311"/>
      <c r="LW932" s="1311"/>
      <c r="LX932" s="1311"/>
      <c r="LY932" s="1311"/>
      <c r="LZ932" s="1311"/>
      <c r="MA932" s="1311"/>
      <c r="MB932" s="1311"/>
      <c r="MC932" s="1311"/>
      <c r="MD932" s="1311"/>
      <c r="ME932" s="1311"/>
      <c r="MF932" s="1311"/>
      <c r="MG932" s="1311"/>
      <c r="MH932" s="1311"/>
      <c r="MI932" s="1311"/>
      <c r="MJ932" s="1311"/>
      <c r="MK932" s="1311"/>
      <c r="ML932" s="1311"/>
      <c r="MM932" s="1311"/>
      <c r="MN932" s="1311"/>
      <c r="MO932" s="1311"/>
      <c r="MP932" s="1311"/>
      <c r="MQ932" s="1311"/>
      <c r="MR932" s="1311"/>
      <c r="MS932" s="1311"/>
    </row>
    <row r="933" spans="1:357">
      <c r="A933" s="638" t="s">
        <v>731</v>
      </c>
      <c r="B933" s="638" t="s">
        <v>5051</v>
      </c>
      <c r="R933" s="638" t="s">
        <v>1820</v>
      </c>
      <c r="T933" s="1311"/>
      <c r="KB933" s="1953"/>
      <c r="KC933" s="1953"/>
      <c r="KD933" s="1953"/>
      <c r="KE933" s="1953"/>
      <c r="KF933" s="1953"/>
      <c r="KG933" s="1953"/>
      <c r="KH933" s="1953"/>
      <c r="KI933" s="1953"/>
      <c r="KJ933" s="1953"/>
      <c r="KK933" s="1953"/>
      <c r="KL933" s="1953"/>
      <c r="KM933" s="1953"/>
      <c r="KN933" s="1953"/>
      <c r="KO933" s="1953"/>
      <c r="KP933" s="1953"/>
      <c r="KQ933" s="1953"/>
      <c r="KR933" s="1953"/>
      <c r="KS933" s="1953"/>
      <c r="KT933" s="1953"/>
      <c r="KU933" s="1953"/>
      <c r="KV933" s="1953"/>
      <c r="KW933" s="1953"/>
      <c r="KX933" s="1953"/>
      <c r="KY933" s="1953"/>
      <c r="KZ933" s="1953"/>
      <c r="LA933" s="1953"/>
      <c r="LB933" s="1953"/>
      <c r="LC933" s="1953"/>
      <c r="LD933" s="1953"/>
      <c r="LE933" s="1953"/>
      <c r="LF933" s="1953"/>
      <c r="LG933" s="1953"/>
    </row>
    <row r="934" spans="1:357">
      <c r="P934" s="1311"/>
      <c r="Q934" s="1311"/>
      <c r="JV934" s="1953"/>
      <c r="KA934" s="1953"/>
      <c r="KB934" s="1953"/>
      <c r="KC934" s="1953"/>
      <c r="KD934" s="1953"/>
      <c r="KE934" s="1953"/>
      <c r="KF934" s="1953"/>
      <c r="KG934" s="1953"/>
      <c r="KH934" s="1953"/>
      <c r="KI934" s="1953"/>
      <c r="KJ934" s="1953"/>
      <c r="KK934" s="1953"/>
      <c r="KL934" s="1953"/>
      <c r="KM934" s="1953"/>
      <c r="KN934" s="1953"/>
      <c r="KO934" s="1953"/>
      <c r="KP934" s="1953"/>
      <c r="KQ934" s="1953"/>
      <c r="KR934" s="1953"/>
      <c r="KS934" s="1953"/>
      <c r="KT934" s="1953"/>
      <c r="KU934" s="1953"/>
      <c r="KV934" s="1953"/>
      <c r="KW934" s="1953"/>
      <c r="KX934" s="1953"/>
      <c r="KY934" s="1953"/>
      <c r="KZ934" s="1953"/>
      <c r="LA934" s="1953"/>
      <c r="LB934" s="1953"/>
      <c r="LC934" s="1953"/>
      <c r="LD934" s="1953"/>
      <c r="LE934" s="1953"/>
      <c r="LF934" s="1953"/>
    </row>
    <row r="935" spans="1:357">
      <c r="B935" s="1203" t="s">
        <v>1003</v>
      </c>
      <c r="C935" s="1203"/>
      <c r="D935" s="1957"/>
      <c r="E935" s="1203"/>
      <c r="F935" s="1203"/>
      <c r="G935" s="1203"/>
      <c r="H935" s="2015">
        <f>'Part VI-Revenues &amp; Expenses'!H173</f>
        <v>15370.08</v>
      </c>
      <c r="I935" s="2015"/>
      <c r="J935" s="1203"/>
      <c r="K935" s="2008" t="s">
        <v>4775</v>
      </c>
      <c r="L935" s="1203"/>
      <c r="M935" s="1203"/>
      <c r="N935" s="1203"/>
      <c r="O935" s="2016">
        <f>H935/L811</f>
        <v>0.02</v>
      </c>
      <c r="P935" s="1957"/>
      <c r="Q935" s="1957"/>
      <c r="R935" s="1311" t="str">
        <f>B935</f>
        <v>Ancillary Income</v>
      </c>
      <c r="JV935" s="1953"/>
      <c r="KA935" s="1953"/>
      <c r="KB935" s="1953"/>
      <c r="KC935" s="1953"/>
      <c r="KD935" s="1953"/>
      <c r="KE935" s="1953"/>
      <c r="KF935" s="1953"/>
      <c r="KG935" s="1953"/>
      <c r="KH935" s="1953"/>
      <c r="KI935" s="1953"/>
      <c r="KJ935" s="1953"/>
      <c r="KK935" s="1953"/>
      <c r="KL935" s="1953"/>
      <c r="KM935" s="1953"/>
      <c r="KN935" s="1953"/>
      <c r="KO935" s="1953"/>
      <c r="KP935" s="1953"/>
      <c r="KQ935" s="1953"/>
      <c r="KR935" s="1953"/>
      <c r="KS935" s="1953"/>
      <c r="KT935" s="1953"/>
      <c r="KU935" s="1953"/>
      <c r="KV935" s="1953"/>
      <c r="KW935" s="1953"/>
      <c r="KX935" s="1953"/>
      <c r="KY935" s="1953"/>
      <c r="KZ935" s="1953"/>
      <c r="LA935" s="1953"/>
      <c r="LB935" s="1953"/>
      <c r="LC935" s="1953"/>
      <c r="LD935" s="1953"/>
      <c r="LE935" s="1953"/>
      <c r="LF935" s="1953"/>
    </row>
    <row r="936" spans="1:357">
      <c r="B936" s="1203"/>
      <c r="C936" s="1203"/>
      <c r="D936" s="1957"/>
      <c r="E936" s="2007"/>
      <c r="F936" s="1203"/>
      <c r="G936" s="1203"/>
      <c r="H936" s="1203"/>
      <c r="I936" s="2017"/>
      <c r="J936" s="1203"/>
      <c r="K936" s="1203"/>
      <c r="L936" s="1203"/>
      <c r="M936" s="1203"/>
      <c r="N936" s="1203"/>
      <c r="O936" s="1203"/>
      <c r="P936" s="1957"/>
      <c r="Q936" s="1957"/>
      <c r="JV936" s="1953"/>
      <c r="KA936" s="1953"/>
      <c r="KB936" s="1953"/>
      <c r="KC936" s="1953"/>
      <c r="KD936" s="1953"/>
      <c r="KE936" s="1953"/>
      <c r="KF936" s="1953"/>
      <c r="KG936" s="1953"/>
      <c r="KH936" s="1953"/>
      <c r="KI936" s="1953"/>
      <c r="KJ936" s="1953"/>
      <c r="KK936" s="1953"/>
      <c r="KL936" s="1953"/>
      <c r="KM936" s="1953"/>
      <c r="KN936" s="1953"/>
      <c r="KO936" s="1953"/>
      <c r="KP936" s="1953"/>
      <c r="KQ936" s="1953"/>
      <c r="KR936" s="1953"/>
      <c r="KS936" s="1953"/>
      <c r="KT936" s="1953"/>
      <c r="KU936" s="1953"/>
      <c r="KV936" s="1953"/>
      <c r="KW936" s="1953"/>
      <c r="KX936" s="1953"/>
      <c r="KY936" s="1953"/>
      <c r="KZ936" s="1953"/>
      <c r="LA936" s="1953"/>
      <c r="LB936" s="1953"/>
      <c r="LC936" s="1953"/>
      <c r="LD936" s="1953"/>
      <c r="LE936" s="1953"/>
      <c r="LF936" s="1953"/>
    </row>
    <row r="937" spans="1:357">
      <c r="B937" s="1203" t="s">
        <v>1429</v>
      </c>
      <c r="C937" s="1203"/>
      <c r="D937" s="1203"/>
      <c r="E937" s="1203"/>
      <c r="F937" s="1203"/>
      <c r="G937" s="1203"/>
      <c r="H937" s="1203"/>
      <c r="I937" s="1203"/>
      <c r="J937" s="1203"/>
      <c r="K937" s="2018"/>
      <c r="L937" s="1203"/>
      <c r="M937" s="1203"/>
      <c r="N937" s="1203"/>
      <c r="O937" s="1203"/>
      <c r="P937" s="1203"/>
      <c r="R937" s="1955" t="str">
        <f>B937</f>
        <v>Other Income (OI) by Year:</v>
      </c>
      <c r="JV937" s="1953"/>
      <c r="KA937" s="1953"/>
      <c r="KB937" s="1953"/>
      <c r="KC937" s="1953"/>
      <c r="KD937" s="1953"/>
      <c r="KE937" s="1953"/>
      <c r="KF937" s="1953"/>
      <c r="KG937" s="1953"/>
      <c r="KH937" s="1953"/>
      <c r="KI937" s="1953"/>
      <c r="KJ937" s="1953"/>
      <c r="KK937" s="1953"/>
      <c r="KL937" s="1953"/>
      <c r="KM937" s="1953"/>
      <c r="KN937" s="1953"/>
      <c r="KO937" s="1953"/>
      <c r="KP937" s="1953"/>
      <c r="KQ937" s="1953"/>
      <c r="KR937" s="1953"/>
      <c r="KS937" s="1953"/>
      <c r="KT937" s="1953"/>
      <c r="KU937" s="1953"/>
      <c r="KV937" s="1953"/>
      <c r="KW937" s="1953"/>
      <c r="KX937" s="1953"/>
      <c r="KY937" s="1953"/>
      <c r="KZ937" s="1953"/>
      <c r="LA937" s="1953"/>
      <c r="LB937" s="1953"/>
      <c r="LC937" s="1953"/>
      <c r="LD937" s="1953"/>
      <c r="LE937" s="1953"/>
      <c r="LF937" s="1953"/>
    </row>
    <row r="938" spans="1:357" ht="13.8">
      <c r="B938" s="1950" t="s">
        <v>2257</v>
      </c>
      <c r="C938" s="1203"/>
      <c r="D938" s="1203"/>
      <c r="E938" s="1203"/>
      <c r="F938" s="1203"/>
      <c r="G938" s="2019">
        <v>1</v>
      </c>
      <c r="H938" s="2019">
        <v>2</v>
      </c>
      <c r="I938" s="2019">
        <v>3</v>
      </c>
      <c r="J938" s="2019">
        <v>4</v>
      </c>
      <c r="K938" s="2019">
        <v>5</v>
      </c>
      <c r="L938" s="2019">
        <v>6</v>
      </c>
      <c r="M938" s="2019">
        <v>7</v>
      </c>
      <c r="N938" s="2019">
        <v>8</v>
      </c>
      <c r="O938" s="2019">
        <v>9</v>
      </c>
      <c r="P938" s="2019">
        <v>10</v>
      </c>
      <c r="Q938" s="2020"/>
      <c r="R938" s="1311" t="str">
        <f>B938</f>
        <v>Included in Mgt Fee:</v>
      </c>
      <c r="JV938" s="1953"/>
      <c r="KA938" s="1953"/>
      <c r="KB938" s="1953"/>
      <c r="KC938" s="1953"/>
      <c r="KD938" s="1953"/>
      <c r="KE938" s="1953"/>
      <c r="KF938" s="1953"/>
      <c r="KG938" s="1953"/>
      <c r="KH938" s="1953"/>
      <c r="KI938" s="1953"/>
      <c r="KJ938" s="1953"/>
      <c r="KK938" s="1953"/>
      <c r="KL938" s="1953"/>
      <c r="KM938" s="1953"/>
      <c r="KN938" s="1953"/>
      <c r="KO938" s="1953"/>
      <c r="KP938" s="1953"/>
      <c r="KQ938" s="1953"/>
      <c r="KR938" s="1953"/>
      <c r="KS938" s="1953"/>
      <c r="KT938" s="1953"/>
      <c r="KU938" s="1953"/>
      <c r="KV938" s="1953"/>
      <c r="KW938" s="1953"/>
      <c r="KX938" s="1953"/>
      <c r="KY938" s="1953"/>
      <c r="KZ938" s="1953"/>
      <c r="LA938" s="1953"/>
      <c r="LB938" s="1953"/>
      <c r="LC938" s="1953"/>
      <c r="LD938" s="1953"/>
      <c r="LE938" s="1953"/>
      <c r="LF938" s="1953"/>
    </row>
    <row r="939" spans="1:357">
      <c r="B939" s="1957" t="s">
        <v>1004</v>
      </c>
      <c r="C939" s="1957"/>
      <c r="D939" s="1957"/>
      <c r="E939" s="1957"/>
      <c r="F939" s="1957"/>
      <c r="G939" s="2021">
        <f>'Part VI-Revenues &amp; Expenses'!G177</f>
        <v>0</v>
      </c>
      <c r="H939" s="2021">
        <f>'Part VI-Revenues &amp; Expenses'!H177</f>
        <v>0</v>
      </c>
      <c r="I939" s="2021">
        <f>'Part VI-Revenues &amp; Expenses'!I177</f>
        <v>0</v>
      </c>
      <c r="J939" s="2021">
        <f>'Part VI-Revenues &amp; Expenses'!J177</f>
        <v>0</v>
      </c>
      <c r="K939" s="2021">
        <f>'Part VI-Revenues &amp; Expenses'!K177</f>
        <v>0</v>
      </c>
      <c r="L939" s="2021">
        <f>'Part VI-Revenues &amp; Expenses'!L177</f>
        <v>0</v>
      </c>
      <c r="M939" s="2021">
        <f>'Part VI-Revenues &amp; Expenses'!M177</f>
        <v>0</v>
      </c>
      <c r="N939" s="2021">
        <f>'Part VI-Revenues &amp; Expenses'!N177</f>
        <v>0</v>
      </c>
      <c r="O939" s="2021">
        <f>'Part VI-Revenues &amp; Expenses'!O177</f>
        <v>0</v>
      </c>
      <c r="P939" s="2021">
        <f>'Part VI-Revenues &amp; Expenses'!P177</f>
        <v>0</v>
      </c>
      <c r="Q939" s="2013"/>
      <c r="R939" s="1979">
        <f>'Part VI-Revenues &amp; Expenses'!R177</f>
        <v>0</v>
      </c>
      <c r="S939" s="1979"/>
      <c r="T939" s="1979"/>
      <c r="U939" s="1979"/>
      <c r="V939" s="1979"/>
      <c r="JV939" s="1953"/>
      <c r="KA939" s="1953"/>
      <c r="KB939" s="1953"/>
      <c r="KC939" s="1953"/>
      <c r="KD939" s="1953"/>
      <c r="KE939" s="1953"/>
      <c r="KF939" s="1953"/>
      <c r="KG939" s="1953"/>
      <c r="KH939" s="1953"/>
      <c r="KI939" s="1953"/>
      <c r="KJ939" s="1953"/>
      <c r="KK939" s="1953"/>
      <c r="KL939" s="1953"/>
      <c r="KM939" s="1953"/>
      <c r="KN939" s="1953"/>
      <c r="KO939" s="1953"/>
      <c r="KP939" s="1953"/>
      <c r="KQ939" s="1953"/>
      <c r="KR939" s="1953"/>
      <c r="KS939" s="1953"/>
      <c r="KT939" s="1953"/>
      <c r="KU939" s="1953"/>
      <c r="KV939" s="1953"/>
      <c r="KW939" s="1953"/>
      <c r="KX939" s="1953"/>
      <c r="KY939" s="1953"/>
      <c r="KZ939" s="1953"/>
      <c r="LA939" s="1953"/>
      <c r="LB939" s="1953"/>
      <c r="LC939" s="1953"/>
      <c r="LD939" s="1953"/>
      <c r="LE939" s="1953"/>
      <c r="LF939" s="1953"/>
    </row>
    <row r="940" spans="1:357">
      <c r="B940" s="1957" t="s">
        <v>730</v>
      </c>
      <c r="C940" s="1957">
        <f>'Part VI-Revenues &amp; Expenses'!C178</f>
        <v>0</v>
      </c>
      <c r="D940" s="1957"/>
      <c r="E940" s="1957"/>
      <c r="F940" s="1957"/>
      <c r="G940" s="2021">
        <f>'Part VI-Revenues &amp; Expenses'!G178</f>
        <v>0</v>
      </c>
      <c r="H940" s="2021">
        <f>'Part VI-Revenues &amp; Expenses'!H178</f>
        <v>0</v>
      </c>
      <c r="I940" s="2021">
        <f>'Part VI-Revenues &amp; Expenses'!I178</f>
        <v>0</v>
      </c>
      <c r="J940" s="2021">
        <f>'Part VI-Revenues &amp; Expenses'!J178</f>
        <v>0</v>
      </c>
      <c r="K940" s="2021">
        <f>'Part VI-Revenues &amp; Expenses'!K178</f>
        <v>0</v>
      </c>
      <c r="L940" s="2021">
        <f>'Part VI-Revenues &amp; Expenses'!L178</f>
        <v>0</v>
      </c>
      <c r="M940" s="2021">
        <f>'Part VI-Revenues &amp; Expenses'!M178</f>
        <v>0</v>
      </c>
      <c r="N940" s="2021">
        <f>'Part VI-Revenues &amp; Expenses'!N178</f>
        <v>0</v>
      </c>
      <c r="O940" s="2021">
        <f>'Part VI-Revenues &amp; Expenses'!O178</f>
        <v>0</v>
      </c>
      <c r="P940" s="2021">
        <f>'Part VI-Revenues &amp; Expenses'!P178</f>
        <v>0</v>
      </c>
      <c r="Q940" s="2013"/>
      <c r="R940" s="1979">
        <f>'Part VI-Revenues &amp; Expenses'!R178</f>
        <v>0</v>
      </c>
      <c r="S940" s="1979"/>
      <c r="T940" s="1979"/>
      <c r="U940" s="1979"/>
      <c r="V940" s="1979"/>
      <c r="JV940" s="1953"/>
      <c r="KA940" s="1953"/>
      <c r="KB940" s="1953"/>
      <c r="KC940" s="1953"/>
      <c r="KD940" s="1953"/>
      <c r="KE940" s="1953"/>
      <c r="KF940" s="1953"/>
      <c r="KG940" s="1953"/>
      <c r="KH940" s="1953"/>
      <c r="KI940" s="1953"/>
      <c r="KJ940" s="1953"/>
      <c r="KK940" s="1953"/>
      <c r="KL940" s="1953"/>
      <c r="KM940" s="1953"/>
      <c r="KN940" s="1953"/>
      <c r="KO940" s="1953"/>
      <c r="KP940" s="1953"/>
      <c r="KQ940" s="1953"/>
      <c r="KR940" s="1953"/>
      <c r="KS940" s="1953"/>
      <c r="KT940" s="1953"/>
      <c r="KU940" s="1953"/>
      <c r="KV940" s="1953"/>
      <c r="KW940" s="1953"/>
      <c r="KX940" s="1953"/>
      <c r="KY940" s="1953"/>
      <c r="KZ940" s="1953"/>
      <c r="LA940" s="1953"/>
      <c r="LB940" s="1953"/>
      <c r="LC940" s="1953"/>
      <c r="LD940" s="1953"/>
      <c r="LE940" s="1953"/>
      <c r="LF940" s="1953"/>
    </row>
    <row r="941" spans="1:357">
      <c r="B941" s="1957"/>
      <c r="C941" s="1957" t="s">
        <v>915</v>
      </c>
      <c r="D941" s="1957"/>
      <c r="E941" s="1957"/>
      <c r="F941" s="1957"/>
      <c r="G941" s="2022">
        <f t="shared" ref="G941:P941" si="357">SUM(G939:G940)</f>
        <v>0</v>
      </c>
      <c r="H941" s="2022">
        <f t="shared" si="357"/>
        <v>0</v>
      </c>
      <c r="I941" s="2022">
        <f t="shared" si="357"/>
        <v>0</v>
      </c>
      <c r="J941" s="2022">
        <f t="shared" si="357"/>
        <v>0</v>
      </c>
      <c r="K941" s="2022">
        <f t="shared" si="357"/>
        <v>0</v>
      </c>
      <c r="L941" s="2022">
        <f t="shared" si="357"/>
        <v>0</v>
      </c>
      <c r="M941" s="2022">
        <f t="shared" si="357"/>
        <v>0</v>
      </c>
      <c r="N941" s="2022">
        <f t="shared" si="357"/>
        <v>0</v>
      </c>
      <c r="O941" s="2022">
        <f t="shared" si="357"/>
        <v>0</v>
      </c>
      <c r="P941" s="2022">
        <f t="shared" si="357"/>
        <v>0</v>
      </c>
      <c r="Q941" s="458"/>
      <c r="R941" s="1979">
        <f>'Part VI-Revenues &amp; Expenses'!R179</f>
        <v>0</v>
      </c>
      <c r="S941" s="1979"/>
      <c r="T941" s="1979"/>
      <c r="U941" s="1979"/>
      <c r="V941" s="1979"/>
      <c r="JV941" s="1953"/>
      <c r="KA941" s="1953"/>
      <c r="KB941" s="1953"/>
      <c r="KC941" s="1953"/>
      <c r="KD941" s="1953"/>
      <c r="KE941" s="1953"/>
      <c r="KF941" s="1953"/>
      <c r="KG941" s="1953"/>
      <c r="KH941" s="1953"/>
      <c r="KI941" s="1953"/>
      <c r="KJ941" s="1953"/>
      <c r="KK941" s="1953"/>
      <c r="KL941" s="1953"/>
      <c r="KM941" s="1953"/>
      <c r="KN941" s="1953"/>
      <c r="KO941" s="1953"/>
      <c r="KP941" s="1953"/>
      <c r="KQ941" s="1953"/>
      <c r="KR941" s="1953"/>
      <c r="KS941" s="1953"/>
      <c r="KT941" s="1953"/>
      <c r="KU941" s="1953"/>
      <c r="KV941" s="1953"/>
      <c r="KW941" s="1953"/>
      <c r="KX941" s="1953"/>
      <c r="KY941" s="1953"/>
      <c r="KZ941" s="1953"/>
      <c r="LA941" s="1953"/>
      <c r="LB941" s="1953"/>
      <c r="LC941" s="1953"/>
      <c r="LD941" s="1953"/>
      <c r="LE941" s="1953"/>
      <c r="LF941" s="1953"/>
    </row>
    <row r="942" spans="1:357">
      <c r="B942" s="1950" t="s">
        <v>4776</v>
      </c>
      <c r="C942" s="1203"/>
      <c r="D942" s="1203"/>
      <c r="E942" s="1203"/>
      <c r="F942" s="1203"/>
      <c r="G942" s="2023"/>
      <c r="H942" s="1203"/>
      <c r="I942" s="1203"/>
      <c r="J942" s="1203"/>
      <c r="K942" s="1203"/>
      <c r="L942" s="1203"/>
      <c r="M942" s="1203"/>
      <c r="N942" s="1203"/>
      <c r="O942" s="1203"/>
      <c r="P942" s="1203"/>
      <c r="R942" s="1311" t="str">
        <f>B942</f>
        <v>NOT Included in Mgt Fee:</v>
      </c>
      <c r="JV942" s="1953"/>
      <c r="KA942" s="1953"/>
      <c r="KB942" s="1953"/>
      <c r="KC942" s="1953"/>
      <c r="KD942" s="1953"/>
      <c r="KE942" s="1953"/>
      <c r="KF942" s="1953"/>
      <c r="KG942" s="1953"/>
      <c r="KH942" s="1953"/>
      <c r="KI942" s="1953"/>
      <c r="KJ942" s="1953"/>
      <c r="KK942" s="1953"/>
      <c r="KL942" s="1953"/>
      <c r="KM942" s="1953"/>
      <c r="KN942" s="1953"/>
      <c r="KO942" s="1953"/>
      <c r="KP942" s="1953"/>
      <c r="KQ942" s="1953"/>
      <c r="KR942" s="1953"/>
      <c r="KS942" s="1953"/>
      <c r="KT942" s="1953"/>
      <c r="KU942" s="1953"/>
      <c r="KV942" s="1953"/>
      <c r="KW942" s="1953"/>
      <c r="KX942" s="1953"/>
      <c r="KY942" s="1953"/>
      <c r="KZ942" s="1953"/>
      <c r="LA942" s="1953"/>
      <c r="LB942" s="1953"/>
      <c r="LC942" s="1953"/>
      <c r="LD942" s="1953"/>
      <c r="LE942" s="1953"/>
      <c r="LF942" s="1953"/>
    </row>
    <row r="943" spans="1:357">
      <c r="B943" s="1957" t="s">
        <v>525</v>
      </c>
      <c r="C943" s="1957"/>
      <c r="D943" s="1957"/>
      <c r="E943" s="1957"/>
      <c r="F943" s="1957"/>
      <c r="G943" s="2021">
        <f>'Part VI-Revenues &amp; Expenses'!G181</f>
        <v>0</v>
      </c>
      <c r="H943" s="2021">
        <f>'Part VI-Revenues &amp; Expenses'!H181</f>
        <v>0</v>
      </c>
      <c r="I943" s="2021">
        <f>'Part VI-Revenues &amp; Expenses'!I181</f>
        <v>0</v>
      </c>
      <c r="J943" s="2021">
        <f>'Part VI-Revenues &amp; Expenses'!J181</f>
        <v>0</v>
      </c>
      <c r="K943" s="2021">
        <f>'Part VI-Revenues &amp; Expenses'!K181</f>
        <v>0</v>
      </c>
      <c r="L943" s="2021">
        <f>'Part VI-Revenues &amp; Expenses'!L181</f>
        <v>0</v>
      </c>
      <c r="M943" s="2021">
        <f>'Part VI-Revenues &amp; Expenses'!M181</f>
        <v>0</v>
      </c>
      <c r="N943" s="2021">
        <f>'Part VI-Revenues &amp; Expenses'!N181</f>
        <v>0</v>
      </c>
      <c r="O943" s="2021">
        <f>'Part VI-Revenues &amp; Expenses'!O181</f>
        <v>0</v>
      </c>
      <c r="P943" s="2021">
        <f>'Part VI-Revenues &amp; Expenses'!P181</f>
        <v>0</v>
      </c>
      <c r="Q943" s="2013"/>
      <c r="R943" s="1979">
        <f>'Part VI-Revenues &amp; Expenses'!R181</f>
        <v>0</v>
      </c>
      <c r="S943" s="1979"/>
      <c r="T943" s="1979"/>
      <c r="U943" s="1979"/>
      <c r="V943" s="1979"/>
      <c r="JV943" s="1953"/>
      <c r="KA943" s="1953"/>
      <c r="KB943" s="1953"/>
      <c r="KC943" s="1953"/>
      <c r="KD943" s="1953"/>
      <c r="KE943" s="1953"/>
      <c r="KF943" s="1953"/>
      <c r="KG943" s="1953"/>
      <c r="KH943" s="1953"/>
      <c r="KI943" s="1953"/>
      <c r="KJ943" s="1953"/>
      <c r="KK943" s="1953"/>
      <c r="KL943" s="1953"/>
      <c r="KM943" s="1953"/>
      <c r="KN943" s="1953"/>
      <c r="KO943" s="1953"/>
      <c r="KP943" s="1953"/>
      <c r="KQ943" s="1953"/>
      <c r="KR943" s="1953"/>
      <c r="KS943" s="1953"/>
      <c r="KT943" s="1953"/>
      <c r="KU943" s="1953"/>
      <c r="KV943" s="1953"/>
      <c r="KW943" s="1953"/>
      <c r="KX943" s="1953"/>
      <c r="KY943" s="1953"/>
      <c r="KZ943" s="1953"/>
      <c r="LA943" s="1953"/>
      <c r="LB943" s="1953"/>
      <c r="LC943" s="1953"/>
      <c r="LD943" s="1953"/>
      <c r="LE943" s="1953"/>
      <c r="LF943" s="1953"/>
    </row>
    <row r="944" spans="1:357">
      <c r="B944" s="1957" t="s">
        <v>730</v>
      </c>
      <c r="C944" s="1957">
        <f>'Part VI-Revenues &amp; Expenses'!C182</f>
        <v>0</v>
      </c>
      <c r="D944" s="1957"/>
      <c r="E944" s="1957"/>
      <c r="F944" s="1957"/>
      <c r="G944" s="2021">
        <f>'Part VI-Revenues &amp; Expenses'!G182</f>
        <v>0</v>
      </c>
      <c r="H944" s="2021">
        <f>'Part VI-Revenues &amp; Expenses'!H182</f>
        <v>0</v>
      </c>
      <c r="I944" s="2021">
        <f>'Part VI-Revenues &amp; Expenses'!I182</f>
        <v>0</v>
      </c>
      <c r="J944" s="2021">
        <f>'Part VI-Revenues &amp; Expenses'!J182</f>
        <v>0</v>
      </c>
      <c r="K944" s="2021">
        <f>'Part VI-Revenues &amp; Expenses'!K182</f>
        <v>0</v>
      </c>
      <c r="L944" s="2021">
        <f>'Part VI-Revenues &amp; Expenses'!L182</f>
        <v>0</v>
      </c>
      <c r="M944" s="2021">
        <f>'Part VI-Revenues &amp; Expenses'!M182</f>
        <v>0</v>
      </c>
      <c r="N944" s="2021">
        <f>'Part VI-Revenues &amp; Expenses'!N182</f>
        <v>0</v>
      </c>
      <c r="O944" s="2021">
        <f>'Part VI-Revenues &amp; Expenses'!O182</f>
        <v>0</v>
      </c>
      <c r="P944" s="2021">
        <f>'Part VI-Revenues &amp; Expenses'!P182</f>
        <v>0</v>
      </c>
      <c r="Q944" s="2013"/>
      <c r="R944" s="1979">
        <f>'Part VI-Revenues &amp; Expenses'!R182</f>
        <v>0</v>
      </c>
      <c r="S944" s="1979"/>
      <c r="T944" s="1979"/>
      <c r="U944" s="1979"/>
      <c r="V944" s="1979"/>
      <c r="JV944" s="1953"/>
      <c r="KA944" s="1953"/>
      <c r="KB944" s="1953"/>
      <c r="KC944" s="1953"/>
      <c r="KD944" s="1953"/>
      <c r="KE944" s="1953"/>
      <c r="KF944" s="1953"/>
      <c r="KG944" s="1953"/>
      <c r="KH944" s="1953"/>
      <c r="KI944" s="1953"/>
      <c r="KJ944" s="1953"/>
      <c r="KK944" s="1953"/>
      <c r="KL944" s="1953"/>
      <c r="KM944" s="1953"/>
      <c r="KN944" s="1953"/>
      <c r="KO944" s="1953"/>
      <c r="KP944" s="1953"/>
      <c r="KQ944" s="1953"/>
      <c r="KR944" s="1953"/>
      <c r="KS944" s="1953"/>
      <c r="KT944" s="1953"/>
      <c r="KU944" s="1953"/>
      <c r="KV944" s="1953"/>
      <c r="KW944" s="1953"/>
      <c r="KX944" s="1953"/>
      <c r="KY944" s="1953"/>
      <c r="KZ944" s="1953"/>
      <c r="LA944" s="1953"/>
      <c r="LB944" s="1953"/>
      <c r="LC944" s="1953"/>
      <c r="LD944" s="1953"/>
      <c r="LE944" s="1953"/>
      <c r="LF944" s="1953"/>
    </row>
    <row r="945" spans="2:318">
      <c r="B945" s="1957"/>
      <c r="C945" s="1957" t="s">
        <v>4777</v>
      </c>
      <c r="D945" s="1957"/>
      <c r="E945" s="1957"/>
      <c r="F945" s="1957"/>
      <c r="G945" s="2022">
        <f t="shared" ref="G945:P945" si="358">SUM(G943:G944)</f>
        <v>0</v>
      </c>
      <c r="H945" s="2022">
        <f t="shared" si="358"/>
        <v>0</v>
      </c>
      <c r="I945" s="2022">
        <f t="shared" si="358"/>
        <v>0</v>
      </c>
      <c r="J945" s="2022">
        <f t="shared" si="358"/>
        <v>0</v>
      </c>
      <c r="K945" s="2022">
        <f t="shared" si="358"/>
        <v>0</v>
      </c>
      <c r="L945" s="2022">
        <f t="shared" si="358"/>
        <v>0</v>
      </c>
      <c r="M945" s="2022">
        <f t="shared" si="358"/>
        <v>0</v>
      </c>
      <c r="N945" s="2022">
        <f t="shared" si="358"/>
        <v>0</v>
      </c>
      <c r="O945" s="2022">
        <f t="shared" si="358"/>
        <v>0</v>
      </c>
      <c r="P945" s="2022">
        <f t="shared" si="358"/>
        <v>0</v>
      </c>
      <c r="Q945" s="458"/>
      <c r="R945" s="1979">
        <f>'Part VI-Revenues &amp; Expenses'!R183</f>
        <v>0</v>
      </c>
      <c r="S945" s="1979"/>
      <c r="T945" s="1979"/>
      <c r="U945" s="1979"/>
      <c r="V945" s="1979"/>
      <c r="JV945" s="1953"/>
      <c r="KA945" s="1953"/>
      <c r="KB945" s="1953"/>
      <c r="KC945" s="1953"/>
      <c r="KD945" s="1953"/>
      <c r="KE945" s="1953"/>
      <c r="KF945" s="1953"/>
      <c r="KG945" s="1953"/>
      <c r="KH945" s="1953"/>
      <c r="KI945" s="1953"/>
      <c r="KJ945" s="1953"/>
      <c r="KK945" s="1953"/>
      <c r="KL945" s="1953"/>
      <c r="KM945" s="1953"/>
      <c r="KN945" s="1953"/>
      <c r="KO945" s="1953"/>
      <c r="KP945" s="1953"/>
      <c r="KQ945" s="1953"/>
      <c r="KR945" s="1953"/>
      <c r="KS945" s="1953"/>
      <c r="KT945" s="1953"/>
      <c r="KU945" s="1953"/>
      <c r="KV945" s="1953"/>
      <c r="KW945" s="1953"/>
      <c r="KX945" s="1953"/>
      <c r="KY945" s="1953"/>
      <c r="KZ945" s="1953"/>
      <c r="LA945" s="1953"/>
      <c r="LB945" s="1953"/>
      <c r="LC945" s="1953"/>
      <c r="LD945" s="1953"/>
      <c r="LE945" s="1953"/>
      <c r="LF945" s="1953"/>
    </row>
    <row r="946" spans="2:318">
      <c r="B946" s="1203"/>
      <c r="C946" s="1203"/>
      <c r="D946" s="1203"/>
      <c r="E946" s="1203"/>
      <c r="F946" s="1203"/>
      <c r="G946" s="2023"/>
      <c r="H946" s="1203"/>
      <c r="I946" s="1203"/>
      <c r="J946" s="1203"/>
      <c r="K946" s="1203"/>
      <c r="L946" s="1203"/>
      <c r="M946" s="1203"/>
      <c r="N946" s="1203"/>
      <c r="O946" s="1203"/>
      <c r="P946" s="1203"/>
      <c r="JV946" s="1953"/>
      <c r="KA946" s="1953"/>
      <c r="KB946" s="1953"/>
      <c r="KC946" s="1953"/>
      <c r="KD946" s="1953"/>
      <c r="KE946" s="1953"/>
      <c r="KF946" s="1953"/>
      <c r="KG946" s="1953"/>
      <c r="KH946" s="1953"/>
      <c r="KI946" s="1953"/>
      <c r="KJ946" s="1953"/>
      <c r="KK946" s="1953"/>
      <c r="KL946" s="1953"/>
      <c r="KM946" s="1953"/>
      <c r="KN946" s="1953"/>
      <c r="KO946" s="1953"/>
      <c r="KP946" s="1953"/>
      <c r="KQ946" s="1953"/>
      <c r="KR946" s="1953"/>
      <c r="KS946" s="1953"/>
      <c r="KT946" s="1953"/>
      <c r="KU946" s="1953"/>
      <c r="KV946" s="1953"/>
      <c r="KW946" s="1953"/>
      <c r="KX946" s="1953"/>
      <c r="KY946" s="1953"/>
      <c r="KZ946" s="1953"/>
      <c r="LA946" s="1953"/>
      <c r="LB946" s="1953"/>
      <c r="LC946" s="1953"/>
      <c r="LD946" s="1953"/>
      <c r="LE946" s="1953"/>
      <c r="LF946" s="1953"/>
    </row>
    <row r="947" spans="2:318">
      <c r="B947" s="1950" t="s">
        <v>2257</v>
      </c>
      <c r="C947" s="1203"/>
      <c r="D947" s="1203"/>
      <c r="E947" s="1203"/>
      <c r="F947" s="1203"/>
      <c r="G947" s="2019">
        <v>11</v>
      </c>
      <c r="H947" s="2019">
        <v>12</v>
      </c>
      <c r="I947" s="2019">
        <v>13</v>
      </c>
      <c r="J947" s="2019">
        <v>14</v>
      </c>
      <c r="K947" s="2019">
        <v>15</v>
      </c>
      <c r="L947" s="2019">
        <v>16</v>
      </c>
      <c r="M947" s="2019">
        <v>17</v>
      </c>
      <c r="N947" s="2019">
        <v>18</v>
      </c>
      <c r="O947" s="2019">
        <v>19</v>
      </c>
      <c r="P947" s="2019">
        <v>20</v>
      </c>
      <c r="R947" s="1981" t="s">
        <v>2588</v>
      </c>
      <c r="S947" s="1311" t="str">
        <f>B947</f>
        <v>Included in Mgt Fee:</v>
      </c>
      <c r="JV947" s="1953"/>
      <c r="KA947" s="1953"/>
      <c r="KB947" s="1953"/>
      <c r="KC947" s="1953"/>
      <c r="KD947" s="1953"/>
      <c r="KE947" s="1953"/>
      <c r="KF947" s="1953"/>
      <c r="KG947" s="1953"/>
      <c r="KH947" s="1953"/>
      <c r="KI947" s="1953"/>
      <c r="KJ947" s="1953"/>
      <c r="KK947" s="1953"/>
      <c r="KL947" s="1953"/>
      <c r="KM947" s="1953"/>
      <c r="KN947" s="1953"/>
      <c r="KO947" s="1953"/>
      <c r="KP947" s="1953"/>
      <c r="KQ947" s="1953"/>
      <c r="KR947" s="1953"/>
      <c r="KS947" s="1953"/>
      <c r="KT947" s="1953"/>
      <c r="KU947" s="1953"/>
      <c r="KV947" s="1953"/>
      <c r="KW947" s="1953"/>
      <c r="KX947" s="1953"/>
      <c r="KY947" s="1953"/>
      <c r="KZ947" s="1953"/>
      <c r="LA947" s="1953"/>
      <c r="LB947" s="1953"/>
      <c r="LC947" s="1953"/>
      <c r="LD947" s="1953"/>
      <c r="LE947" s="1953"/>
      <c r="LF947" s="1953"/>
    </row>
    <row r="948" spans="2:318">
      <c r="B948" s="1957" t="s">
        <v>1004</v>
      </c>
      <c r="C948" s="1957"/>
      <c r="D948" s="1957"/>
      <c r="E948" s="1957"/>
      <c r="F948" s="1957"/>
      <c r="G948" s="2021">
        <f>'Part VI-Revenues &amp; Expenses'!G186</f>
        <v>0</v>
      </c>
      <c r="H948" s="2021">
        <f>'Part VI-Revenues &amp; Expenses'!H186</f>
        <v>0</v>
      </c>
      <c r="I948" s="2021">
        <f>'Part VI-Revenues &amp; Expenses'!I186</f>
        <v>0</v>
      </c>
      <c r="J948" s="2021">
        <f>'Part VI-Revenues &amp; Expenses'!J186</f>
        <v>0</v>
      </c>
      <c r="K948" s="2021">
        <f>'Part VI-Revenues &amp; Expenses'!K186</f>
        <v>0</v>
      </c>
      <c r="L948" s="2021">
        <f>'Part VI-Revenues &amp; Expenses'!L186</f>
        <v>0</v>
      </c>
      <c r="M948" s="2021">
        <f>'Part VI-Revenues &amp; Expenses'!M186</f>
        <v>0</v>
      </c>
      <c r="N948" s="2021">
        <f>'Part VI-Revenues &amp; Expenses'!N186</f>
        <v>0</v>
      </c>
      <c r="O948" s="2021">
        <f>'Part VI-Revenues &amp; Expenses'!O186</f>
        <v>0</v>
      </c>
      <c r="P948" s="2021">
        <f>'Part VI-Revenues &amp; Expenses'!P186</f>
        <v>0</v>
      </c>
      <c r="Q948" s="2013"/>
      <c r="R948" s="1979">
        <f>'Part VI-Revenues &amp; Expenses'!R186</f>
        <v>0</v>
      </c>
      <c r="S948" s="1979"/>
      <c r="T948" s="1979"/>
      <c r="U948" s="1979"/>
      <c r="V948" s="1979"/>
      <c r="JV948" s="1953"/>
      <c r="KA948" s="1953"/>
      <c r="KB948" s="1953"/>
      <c r="KC948" s="1953"/>
      <c r="KD948" s="1953"/>
      <c r="KE948" s="1953"/>
      <c r="KF948" s="1953"/>
      <c r="KG948" s="1953"/>
      <c r="KH948" s="1953"/>
      <c r="KI948" s="1953"/>
      <c r="KJ948" s="1953"/>
      <c r="KK948" s="1953"/>
      <c r="KL948" s="1953"/>
      <c r="KM948" s="1953"/>
      <c r="KN948" s="1953"/>
      <c r="KO948" s="1953"/>
      <c r="KP948" s="1953"/>
      <c r="KQ948" s="1953"/>
      <c r="KR948" s="1953"/>
      <c r="KS948" s="1953"/>
      <c r="KT948" s="1953"/>
      <c r="KU948" s="1953"/>
      <c r="KV948" s="1953"/>
      <c r="KW948" s="1953"/>
      <c r="KX948" s="1953"/>
      <c r="KY948" s="1953"/>
      <c r="KZ948" s="1953"/>
      <c r="LA948" s="1953"/>
      <c r="LB948" s="1953"/>
      <c r="LC948" s="1953"/>
      <c r="LD948" s="1953"/>
      <c r="LE948" s="1953"/>
      <c r="LF948" s="1953"/>
    </row>
    <row r="949" spans="2:318">
      <c r="B949" s="1957" t="s">
        <v>730</v>
      </c>
      <c r="C949" s="1957">
        <f>'Part VI-Revenues &amp; Expenses'!C187</f>
        <v>0</v>
      </c>
      <c r="D949" s="1957"/>
      <c r="E949" s="1957"/>
      <c r="F949" s="1957"/>
      <c r="G949" s="2021">
        <f>'Part VI-Revenues &amp; Expenses'!G187</f>
        <v>0</v>
      </c>
      <c r="H949" s="2021">
        <f>'Part VI-Revenues &amp; Expenses'!H187</f>
        <v>0</v>
      </c>
      <c r="I949" s="2021">
        <f>'Part VI-Revenues &amp; Expenses'!I187</f>
        <v>0</v>
      </c>
      <c r="J949" s="2021">
        <f>'Part VI-Revenues &amp; Expenses'!J187</f>
        <v>0</v>
      </c>
      <c r="K949" s="2021">
        <f>'Part VI-Revenues &amp; Expenses'!K187</f>
        <v>0</v>
      </c>
      <c r="L949" s="2021">
        <f>'Part VI-Revenues &amp; Expenses'!L187</f>
        <v>0</v>
      </c>
      <c r="M949" s="2021">
        <f>'Part VI-Revenues &amp; Expenses'!M187</f>
        <v>0</v>
      </c>
      <c r="N949" s="2021">
        <f>'Part VI-Revenues &amp; Expenses'!N187</f>
        <v>0</v>
      </c>
      <c r="O949" s="2021">
        <f>'Part VI-Revenues &amp; Expenses'!O187</f>
        <v>0</v>
      </c>
      <c r="P949" s="2021">
        <f>'Part VI-Revenues &amp; Expenses'!P187</f>
        <v>0</v>
      </c>
      <c r="Q949" s="2013"/>
      <c r="R949" s="1979">
        <f>'Part VI-Revenues &amp; Expenses'!R187</f>
        <v>0</v>
      </c>
      <c r="S949" s="1979"/>
      <c r="T949" s="1979"/>
      <c r="U949" s="1979"/>
      <c r="V949" s="1979"/>
      <c r="JV949" s="1953"/>
      <c r="KA949" s="1953"/>
      <c r="KB949" s="1953"/>
      <c r="KC949" s="1953"/>
      <c r="KD949" s="1953"/>
      <c r="KE949" s="1953"/>
      <c r="KF949" s="1953"/>
      <c r="KG949" s="1953"/>
      <c r="KH949" s="1953"/>
      <c r="KI949" s="1953"/>
      <c r="KJ949" s="1953"/>
      <c r="KK949" s="1953"/>
      <c r="KL949" s="1953"/>
      <c r="KM949" s="1953"/>
      <c r="KN949" s="1953"/>
      <c r="KO949" s="1953"/>
      <c r="KP949" s="1953"/>
      <c r="KQ949" s="1953"/>
      <c r="KR949" s="1953"/>
      <c r="KS949" s="1953"/>
      <c r="KT949" s="1953"/>
      <c r="KU949" s="1953"/>
      <c r="KV949" s="1953"/>
      <c r="KW949" s="1953"/>
      <c r="KX949" s="1953"/>
      <c r="KY949" s="1953"/>
      <c r="KZ949" s="1953"/>
      <c r="LA949" s="1953"/>
      <c r="LB949" s="1953"/>
      <c r="LC949" s="1953"/>
      <c r="LD949" s="1953"/>
      <c r="LE949" s="1953"/>
      <c r="LF949" s="1953"/>
    </row>
    <row r="950" spans="2:318">
      <c r="B950" s="1957"/>
      <c r="C950" s="1957" t="s">
        <v>915</v>
      </c>
      <c r="D950" s="1957"/>
      <c r="E950" s="1957"/>
      <c r="F950" s="1957"/>
      <c r="G950" s="2022">
        <f t="shared" ref="G950:P950" si="359">SUM(G948:G949)</f>
        <v>0</v>
      </c>
      <c r="H950" s="2022">
        <f t="shared" si="359"/>
        <v>0</v>
      </c>
      <c r="I950" s="2022">
        <f t="shared" si="359"/>
        <v>0</v>
      </c>
      <c r="J950" s="2022">
        <f t="shared" si="359"/>
        <v>0</v>
      </c>
      <c r="K950" s="2022">
        <f t="shared" si="359"/>
        <v>0</v>
      </c>
      <c r="L950" s="2022">
        <f t="shared" si="359"/>
        <v>0</v>
      </c>
      <c r="M950" s="2022">
        <f t="shared" si="359"/>
        <v>0</v>
      </c>
      <c r="N950" s="2022">
        <f t="shared" si="359"/>
        <v>0</v>
      </c>
      <c r="O950" s="2022">
        <f t="shared" si="359"/>
        <v>0</v>
      </c>
      <c r="P950" s="2022">
        <f t="shared" si="359"/>
        <v>0</v>
      </c>
      <c r="Q950" s="458"/>
      <c r="R950" s="1979">
        <f>'Part VI-Revenues &amp; Expenses'!R188</f>
        <v>0</v>
      </c>
      <c r="S950" s="1979"/>
      <c r="T950" s="1979"/>
      <c r="U950" s="1979"/>
      <c r="V950" s="1979"/>
      <c r="JV950" s="1953"/>
      <c r="KA950" s="1953"/>
      <c r="KB950" s="1953"/>
      <c r="KC950" s="1953"/>
      <c r="KD950" s="1953"/>
      <c r="KE950" s="1953"/>
      <c r="KF950" s="1953"/>
      <c r="KG950" s="1953"/>
      <c r="KH950" s="1953"/>
      <c r="KI950" s="1953"/>
      <c r="KJ950" s="1953"/>
      <c r="KK950" s="1953"/>
      <c r="KL950" s="1953"/>
      <c r="KM950" s="1953"/>
      <c r="KN950" s="1953"/>
      <c r="KO950" s="1953"/>
      <c r="KP950" s="1953"/>
      <c r="KQ950" s="1953"/>
      <c r="KR950" s="1953"/>
      <c r="KS950" s="1953"/>
      <c r="KT950" s="1953"/>
      <c r="KU950" s="1953"/>
      <c r="KV950" s="1953"/>
      <c r="KW950" s="1953"/>
      <c r="KX950" s="1953"/>
      <c r="KY950" s="1953"/>
      <c r="KZ950" s="1953"/>
      <c r="LA950" s="1953"/>
      <c r="LB950" s="1953"/>
      <c r="LC950" s="1953"/>
      <c r="LD950" s="1953"/>
      <c r="LE950" s="1953"/>
      <c r="LF950" s="1953"/>
    </row>
    <row r="951" spans="2:318">
      <c r="B951" s="1950" t="s">
        <v>4776</v>
      </c>
      <c r="C951" s="1203"/>
      <c r="D951" s="1203"/>
      <c r="E951" s="1203"/>
      <c r="F951" s="1203"/>
      <c r="G951" s="2023"/>
      <c r="H951" s="1203"/>
      <c r="I951" s="1203"/>
      <c r="J951" s="1203"/>
      <c r="K951" s="1203"/>
      <c r="L951" s="1203"/>
      <c r="M951" s="1203"/>
      <c r="N951" s="1203"/>
      <c r="O951" s="1203"/>
      <c r="P951" s="1203"/>
      <c r="R951" s="1311" t="str">
        <f>B951</f>
        <v>NOT Included in Mgt Fee:</v>
      </c>
      <c r="JV951" s="1953"/>
      <c r="KA951" s="1953"/>
      <c r="KB951" s="1953"/>
      <c r="KC951" s="1953"/>
      <c r="KD951" s="1953"/>
      <c r="KE951" s="1953"/>
      <c r="KF951" s="1953"/>
      <c r="KG951" s="1953"/>
      <c r="KH951" s="1953"/>
      <c r="KI951" s="1953"/>
      <c r="KJ951" s="1953"/>
      <c r="KK951" s="1953"/>
      <c r="KL951" s="1953"/>
      <c r="KM951" s="1953"/>
      <c r="KN951" s="1953"/>
      <c r="KO951" s="1953"/>
      <c r="KP951" s="1953"/>
      <c r="KQ951" s="1953"/>
      <c r="KR951" s="1953"/>
      <c r="KS951" s="1953"/>
      <c r="KT951" s="1953"/>
      <c r="KU951" s="1953"/>
      <c r="KV951" s="1953"/>
      <c r="KW951" s="1953"/>
      <c r="KX951" s="1953"/>
      <c r="KY951" s="1953"/>
      <c r="KZ951" s="1953"/>
      <c r="LA951" s="1953"/>
      <c r="LB951" s="1953"/>
      <c r="LC951" s="1953"/>
      <c r="LD951" s="1953"/>
      <c r="LE951" s="1953"/>
      <c r="LF951" s="1953"/>
    </row>
    <row r="952" spans="2:318">
      <c r="B952" s="1957" t="s">
        <v>525</v>
      </c>
      <c r="C952" s="1957"/>
      <c r="D952" s="1957"/>
      <c r="E952" s="1957"/>
      <c r="F952" s="1957"/>
      <c r="G952" s="2021">
        <f>'Part VI-Revenues &amp; Expenses'!G190</f>
        <v>0</v>
      </c>
      <c r="H952" s="2021">
        <f>'Part VI-Revenues &amp; Expenses'!H190</f>
        <v>0</v>
      </c>
      <c r="I952" s="2021">
        <f>'Part VI-Revenues &amp; Expenses'!I190</f>
        <v>0</v>
      </c>
      <c r="J952" s="2021">
        <f>'Part VI-Revenues &amp; Expenses'!J190</f>
        <v>0</v>
      </c>
      <c r="K952" s="2021">
        <f>'Part VI-Revenues &amp; Expenses'!K190</f>
        <v>0</v>
      </c>
      <c r="L952" s="2021">
        <f>'Part VI-Revenues &amp; Expenses'!L190</f>
        <v>0</v>
      </c>
      <c r="M952" s="2021">
        <f>'Part VI-Revenues &amp; Expenses'!M190</f>
        <v>0</v>
      </c>
      <c r="N952" s="2021">
        <f>'Part VI-Revenues &amp; Expenses'!N190</f>
        <v>0</v>
      </c>
      <c r="O952" s="2021">
        <f>'Part VI-Revenues &amp; Expenses'!O190</f>
        <v>0</v>
      </c>
      <c r="P952" s="2021">
        <f>'Part VI-Revenues &amp; Expenses'!P190</f>
        <v>0</v>
      </c>
      <c r="Q952" s="2013"/>
      <c r="R952" s="1979">
        <f>'Part VI-Revenues &amp; Expenses'!R190</f>
        <v>0</v>
      </c>
      <c r="S952" s="1979"/>
      <c r="T952" s="1979"/>
      <c r="U952" s="1979"/>
      <c r="V952" s="1979"/>
      <c r="JV952" s="1953"/>
      <c r="KA952" s="1953"/>
      <c r="KB952" s="1953"/>
      <c r="KC952" s="1953"/>
      <c r="KD952" s="1953"/>
      <c r="KE952" s="1953"/>
      <c r="KF952" s="1953"/>
      <c r="KG952" s="1953"/>
      <c r="KH952" s="1953"/>
      <c r="KI952" s="1953"/>
      <c r="KJ952" s="1953"/>
      <c r="KK952" s="1953"/>
      <c r="KL952" s="1953"/>
      <c r="KM952" s="1953"/>
      <c r="KN952" s="1953"/>
      <c r="KO952" s="1953"/>
      <c r="KP952" s="1953"/>
      <c r="KQ952" s="1953"/>
      <c r="KR952" s="1953"/>
      <c r="KS952" s="1953"/>
      <c r="KT952" s="1953"/>
      <c r="KU952" s="1953"/>
      <c r="KV952" s="1953"/>
      <c r="KW952" s="1953"/>
      <c r="KX952" s="1953"/>
      <c r="KY952" s="1953"/>
      <c r="KZ952" s="1953"/>
      <c r="LA952" s="1953"/>
      <c r="LB952" s="1953"/>
      <c r="LC952" s="1953"/>
      <c r="LD952" s="1953"/>
      <c r="LE952" s="1953"/>
      <c r="LF952" s="1953"/>
    </row>
    <row r="953" spans="2:318">
      <c r="B953" s="1957" t="s">
        <v>730</v>
      </c>
      <c r="C953" s="1957">
        <f>'Part VI-Revenues &amp; Expenses'!C191</f>
        <v>0</v>
      </c>
      <c r="D953" s="1957"/>
      <c r="E953" s="1957"/>
      <c r="F953" s="1957"/>
      <c r="G953" s="2021">
        <f>'Part VI-Revenues &amp; Expenses'!G191</f>
        <v>0</v>
      </c>
      <c r="H953" s="2021">
        <f>'Part VI-Revenues &amp; Expenses'!H191</f>
        <v>0</v>
      </c>
      <c r="I953" s="2021">
        <f>'Part VI-Revenues &amp; Expenses'!I191</f>
        <v>0</v>
      </c>
      <c r="J953" s="2021">
        <f>'Part VI-Revenues &amp; Expenses'!J191</f>
        <v>0</v>
      </c>
      <c r="K953" s="2021">
        <f>'Part VI-Revenues &amp; Expenses'!K191</f>
        <v>0</v>
      </c>
      <c r="L953" s="2021">
        <f>'Part VI-Revenues &amp; Expenses'!L191</f>
        <v>0</v>
      </c>
      <c r="M953" s="2021">
        <f>'Part VI-Revenues &amp; Expenses'!M191</f>
        <v>0</v>
      </c>
      <c r="N953" s="2021">
        <f>'Part VI-Revenues &amp; Expenses'!N191</f>
        <v>0</v>
      </c>
      <c r="O953" s="2021">
        <f>'Part VI-Revenues &amp; Expenses'!O191</f>
        <v>0</v>
      </c>
      <c r="P953" s="2021">
        <f>'Part VI-Revenues &amp; Expenses'!P191</f>
        <v>0</v>
      </c>
      <c r="Q953" s="2013"/>
      <c r="R953" s="1979">
        <f>'Part VI-Revenues &amp; Expenses'!R191</f>
        <v>0</v>
      </c>
      <c r="S953" s="1979"/>
      <c r="T953" s="1979"/>
      <c r="U953" s="1979"/>
      <c r="V953" s="1979"/>
      <c r="JV953" s="1953"/>
      <c r="KA953" s="1953"/>
      <c r="KB953" s="1953"/>
      <c r="KC953" s="1953"/>
      <c r="KD953" s="1953"/>
      <c r="KE953" s="1953"/>
      <c r="KF953" s="1953"/>
      <c r="KG953" s="1953"/>
      <c r="KH953" s="1953"/>
      <c r="KI953" s="1953"/>
      <c r="KJ953" s="1953"/>
      <c r="KK953" s="1953"/>
      <c r="KL953" s="1953"/>
      <c r="KM953" s="1953"/>
      <c r="KN953" s="1953"/>
      <c r="KO953" s="1953"/>
      <c r="KP953" s="1953"/>
      <c r="KQ953" s="1953"/>
      <c r="KR953" s="1953"/>
      <c r="KS953" s="1953"/>
      <c r="KT953" s="1953"/>
      <c r="KU953" s="1953"/>
      <c r="KV953" s="1953"/>
      <c r="KW953" s="1953"/>
      <c r="KX953" s="1953"/>
      <c r="KY953" s="1953"/>
      <c r="KZ953" s="1953"/>
      <c r="LA953" s="1953"/>
      <c r="LB953" s="1953"/>
      <c r="LC953" s="1953"/>
      <c r="LD953" s="1953"/>
      <c r="LE953" s="1953"/>
      <c r="LF953" s="1953"/>
    </row>
    <row r="954" spans="2:318">
      <c r="B954" s="1957"/>
      <c r="C954" s="1957" t="s">
        <v>4777</v>
      </c>
      <c r="D954" s="1957"/>
      <c r="E954" s="1957"/>
      <c r="F954" s="1957"/>
      <c r="G954" s="2022">
        <f t="shared" ref="G954:P954" si="360">SUM(G952:G953)</f>
        <v>0</v>
      </c>
      <c r="H954" s="2022">
        <f t="shared" si="360"/>
        <v>0</v>
      </c>
      <c r="I954" s="2022">
        <f t="shared" si="360"/>
        <v>0</v>
      </c>
      <c r="J954" s="2022">
        <f t="shared" si="360"/>
        <v>0</v>
      </c>
      <c r="K954" s="2022">
        <f t="shared" si="360"/>
        <v>0</v>
      </c>
      <c r="L954" s="2022">
        <f t="shared" si="360"/>
        <v>0</v>
      </c>
      <c r="M954" s="2022">
        <f t="shared" si="360"/>
        <v>0</v>
      </c>
      <c r="N954" s="2022">
        <f t="shared" si="360"/>
        <v>0</v>
      </c>
      <c r="O954" s="2022">
        <f t="shared" si="360"/>
        <v>0</v>
      </c>
      <c r="P954" s="2022">
        <f t="shared" si="360"/>
        <v>0</v>
      </c>
      <c r="Q954" s="458"/>
      <c r="R954" s="1979">
        <f>'Part VI-Revenues &amp; Expenses'!R192</f>
        <v>0</v>
      </c>
      <c r="S954" s="1979"/>
      <c r="T954" s="1979"/>
      <c r="U954" s="1979"/>
      <c r="V954" s="1979"/>
      <c r="JV954" s="1953"/>
      <c r="KA954" s="1953"/>
      <c r="KB954" s="1953"/>
      <c r="KC954" s="1953"/>
      <c r="KD954" s="1953"/>
      <c r="KE954" s="1953"/>
      <c r="KF954" s="1953"/>
      <c r="KG954" s="1953"/>
      <c r="KH954" s="1953"/>
      <c r="KI954" s="1953"/>
      <c r="KJ954" s="1953"/>
      <c r="KK954" s="1953"/>
      <c r="KL954" s="1953"/>
      <c r="KM954" s="1953"/>
      <c r="KN954" s="1953"/>
      <c r="KO954" s="1953"/>
      <c r="KP954" s="1953"/>
      <c r="KQ954" s="1953"/>
      <c r="KR954" s="1953"/>
      <c r="KS954" s="1953"/>
      <c r="KT954" s="1953"/>
      <c r="KU954" s="1953"/>
      <c r="KV954" s="1953"/>
      <c r="KW954" s="1953"/>
      <c r="KX954" s="1953"/>
      <c r="KY954" s="1953"/>
      <c r="KZ954" s="1953"/>
      <c r="LA954" s="1953"/>
      <c r="LB954" s="1953"/>
      <c r="LC954" s="1953"/>
      <c r="LD954" s="1953"/>
      <c r="LE954" s="1953"/>
      <c r="LF954" s="1953"/>
    </row>
    <row r="955" spans="2:318">
      <c r="B955" s="1203"/>
      <c r="C955" s="1203"/>
      <c r="D955" s="1203"/>
      <c r="E955" s="1203"/>
      <c r="F955" s="1203"/>
      <c r="G955" s="2023"/>
      <c r="H955" s="1203"/>
      <c r="I955" s="1203"/>
      <c r="J955" s="1203"/>
      <c r="K955" s="1203"/>
      <c r="L955" s="1203"/>
      <c r="M955" s="1203"/>
      <c r="N955" s="1203"/>
      <c r="O955" s="1203"/>
      <c r="P955" s="1203"/>
      <c r="JV955" s="1953"/>
      <c r="KA955" s="1953"/>
      <c r="KB955" s="1953"/>
      <c r="KC955" s="1953"/>
      <c r="KD955" s="1953"/>
      <c r="KE955" s="1953"/>
      <c r="KF955" s="1953"/>
      <c r="KG955" s="1953"/>
      <c r="KH955" s="1953"/>
      <c r="KI955" s="1953"/>
      <c r="KJ955" s="1953"/>
      <c r="KK955" s="1953"/>
      <c r="KL955" s="1953"/>
      <c r="KM955" s="1953"/>
      <c r="KN955" s="1953"/>
      <c r="KO955" s="1953"/>
      <c r="KP955" s="1953"/>
      <c r="KQ955" s="1953"/>
      <c r="KR955" s="1953"/>
      <c r="KS955" s="1953"/>
      <c r="KT955" s="1953"/>
      <c r="KU955" s="1953"/>
      <c r="KV955" s="1953"/>
      <c r="KW955" s="1953"/>
      <c r="KX955" s="1953"/>
      <c r="KY955" s="1953"/>
      <c r="KZ955" s="1953"/>
      <c r="LA955" s="1953"/>
      <c r="LB955" s="1953"/>
      <c r="LC955" s="1953"/>
      <c r="LD955" s="1953"/>
      <c r="LE955" s="1953"/>
      <c r="LF955" s="1953"/>
    </row>
    <row r="956" spans="2:318" ht="13.8">
      <c r="B956" s="1950" t="s">
        <v>2257</v>
      </c>
      <c r="C956" s="1203"/>
      <c r="D956" s="1203"/>
      <c r="E956" s="1203"/>
      <c r="F956" s="1203"/>
      <c r="G956" s="2019">
        <v>21</v>
      </c>
      <c r="H956" s="2019">
        <v>22</v>
      </c>
      <c r="I956" s="2019">
        <v>23</v>
      </c>
      <c r="J956" s="2019">
        <v>24</v>
      </c>
      <c r="K956" s="2019">
        <v>25</v>
      </c>
      <c r="L956" s="2019">
        <v>26</v>
      </c>
      <c r="M956" s="2019">
        <v>27</v>
      </c>
      <c r="N956" s="2019">
        <v>28</v>
      </c>
      <c r="O956" s="2019">
        <v>29</v>
      </c>
      <c r="P956" s="2019">
        <v>30</v>
      </c>
      <c r="Q956" s="2020"/>
      <c r="R956" s="1981" t="s">
        <v>2589</v>
      </c>
      <c r="S956" s="1311" t="str">
        <f>B956</f>
        <v>Included in Mgt Fee:</v>
      </c>
      <c r="JV956" s="1953"/>
      <c r="KA956" s="1953"/>
      <c r="KB956" s="1953"/>
      <c r="KC956" s="1953"/>
      <c r="KD956" s="1953"/>
      <c r="KE956" s="1953"/>
      <c r="KF956" s="1953"/>
      <c r="KG956" s="1953"/>
      <c r="KH956" s="1953"/>
      <c r="KI956" s="1953"/>
      <c r="KJ956" s="1953"/>
      <c r="KK956" s="1953"/>
      <c r="KL956" s="1953"/>
      <c r="KM956" s="1953"/>
      <c r="KN956" s="1953"/>
      <c r="KO956" s="1953"/>
      <c r="KP956" s="1953"/>
      <c r="KQ956" s="1953"/>
      <c r="KR956" s="1953"/>
      <c r="KS956" s="1953"/>
      <c r="KT956" s="1953"/>
      <c r="KU956" s="1953"/>
      <c r="KV956" s="1953"/>
      <c r="KW956" s="1953"/>
      <c r="KX956" s="1953"/>
      <c r="KY956" s="1953"/>
      <c r="KZ956" s="1953"/>
      <c r="LA956" s="1953"/>
      <c r="LB956" s="1953"/>
      <c r="LC956" s="1953"/>
      <c r="LD956" s="1953"/>
      <c r="LE956" s="1953"/>
      <c r="LF956" s="1953"/>
    </row>
    <row r="957" spans="2:318">
      <c r="B957" s="1957" t="s">
        <v>1004</v>
      </c>
      <c r="C957" s="1957"/>
      <c r="D957" s="1957"/>
      <c r="E957" s="1957"/>
      <c r="F957" s="1957"/>
      <c r="G957" s="2021">
        <f>'Part VI-Revenues &amp; Expenses'!G195</f>
        <v>0</v>
      </c>
      <c r="H957" s="2021">
        <f>'Part VI-Revenues &amp; Expenses'!H195</f>
        <v>0</v>
      </c>
      <c r="I957" s="2021">
        <f>'Part VI-Revenues &amp; Expenses'!I195</f>
        <v>0</v>
      </c>
      <c r="J957" s="2021">
        <f>'Part VI-Revenues &amp; Expenses'!J195</f>
        <v>0</v>
      </c>
      <c r="K957" s="2021">
        <f>'Part VI-Revenues &amp; Expenses'!K195</f>
        <v>0</v>
      </c>
      <c r="L957" s="2021">
        <f>'Part VI-Revenues &amp; Expenses'!L195</f>
        <v>0</v>
      </c>
      <c r="M957" s="2021">
        <f>'Part VI-Revenues &amp; Expenses'!M195</f>
        <v>0</v>
      </c>
      <c r="N957" s="2021">
        <f>'Part VI-Revenues &amp; Expenses'!N195</f>
        <v>0</v>
      </c>
      <c r="O957" s="2021">
        <f>'Part VI-Revenues &amp; Expenses'!O195</f>
        <v>0</v>
      </c>
      <c r="P957" s="2021">
        <f>'Part VI-Revenues &amp; Expenses'!P195</f>
        <v>0</v>
      </c>
      <c r="Q957" s="2013"/>
      <c r="R957" s="1979">
        <f>'Part VI-Revenues &amp; Expenses'!R195</f>
        <v>0</v>
      </c>
      <c r="S957" s="1979"/>
      <c r="T957" s="1979"/>
      <c r="U957" s="1979"/>
      <c r="V957" s="1979"/>
      <c r="JV957" s="1953"/>
      <c r="KA957" s="1953"/>
      <c r="KB957" s="1953"/>
      <c r="KC957" s="1953"/>
      <c r="KD957" s="1953"/>
      <c r="KE957" s="1953"/>
      <c r="KF957" s="1953"/>
      <c r="KG957" s="1953"/>
      <c r="KH957" s="1953"/>
      <c r="KI957" s="1953"/>
      <c r="KJ957" s="1953"/>
      <c r="KK957" s="1953"/>
      <c r="KL957" s="1953"/>
      <c r="KM957" s="1953"/>
      <c r="KN957" s="1953"/>
      <c r="KO957" s="1953"/>
      <c r="KP957" s="1953"/>
      <c r="KQ957" s="1953"/>
      <c r="KR957" s="1953"/>
      <c r="KS957" s="1953"/>
      <c r="KT957" s="1953"/>
      <c r="KU957" s="1953"/>
      <c r="KV957" s="1953"/>
      <c r="KW957" s="1953"/>
      <c r="KX957" s="1953"/>
      <c r="KY957" s="1953"/>
      <c r="KZ957" s="1953"/>
      <c r="LA957" s="1953"/>
      <c r="LB957" s="1953"/>
      <c r="LC957" s="1953"/>
      <c r="LD957" s="1953"/>
      <c r="LE957" s="1953"/>
      <c r="LF957" s="1953"/>
    </row>
    <row r="958" spans="2:318">
      <c r="B958" s="1957" t="s">
        <v>730</v>
      </c>
      <c r="C958" s="1957">
        <f>'Part VI-Revenues &amp; Expenses'!C196</f>
        <v>0</v>
      </c>
      <c r="D958" s="1957"/>
      <c r="E958" s="1957"/>
      <c r="F958" s="1957"/>
      <c r="G958" s="2021">
        <f>'Part VI-Revenues &amp; Expenses'!G196</f>
        <v>0</v>
      </c>
      <c r="H958" s="2021">
        <f>'Part VI-Revenues &amp; Expenses'!H196</f>
        <v>0</v>
      </c>
      <c r="I958" s="2021">
        <f>'Part VI-Revenues &amp; Expenses'!I196</f>
        <v>0</v>
      </c>
      <c r="J958" s="2021">
        <f>'Part VI-Revenues &amp; Expenses'!J196</f>
        <v>0</v>
      </c>
      <c r="K958" s="2021">
        <f>'Part VI-Revenues &amp; Expenses'!K196</f>
        <v>0</v>
      </c>
      <c r="L958" s="2021">
        <f>'Part VI-Revenues &amp; Expenses'!L196</f>
        <v>0</v>
      </c>
      <c r="M958" s="2021">
        <f>'Part VI-Revenues &amp; Expenses'!M196</f>
        <v>0</v>
      </c>
      <c r="N958" s="2021">
        <f>'Part VI-Revenues &amp; Expenses'!N196</f>
        <v>0</v>
      </c>
      <c r="O958" s="2021">
        <f>'Part VI-Revenues &amp; Expenses'!O196</f>
        <v>0</v>
      </c>
      <c r="P958" s="2021">
        <f>'Part VI-Revenues &amp; Expenses'!P196</f>
        <v>0</v>
      </c>
      <c r="Q958" s="2013"/>
      <c r="R958" s="1979">
        <f>'Part VI-Revenues &amp; Expenses'!R196</f>
        <v>0</v>
      </c>
      <c r="S958" s="1979"/>
      <c r="T958" s="1979"/>
      <c r="U958" s="1979"/>
      <c r="V958" s="1979"/>
      <c r="JV958" s="1953"/>
      <c r="KA958" s="1953"/>
      <c r="KB958" s="1953"/>
      <c r="KC958" s="1953"/>
      <c r="KD958" s="1953"/>
      <c r="KE958" s="1953"/>
      <c r="KF958" s="1953"/>
      <c r="KG958" s="1953"/>
      <c r="KH958" s="1953"/>
      <c r="KI958" s="1953"/>
      <c r="KJ958" s="1953"/>
      <c r="KK958" s="1953"/>
      <c r="KL958" s="1953"/>
      <c r="KM958" s="1953"/>
      <c r="KN958" s="1953"/>
      <c r="KO958" s="1953"/>
      <c r="KP958" s="1953"/>
      <c r="KQ958" s="1953"/>
      <c r="KR958" s="1953"/>
      <c r="KS958" s="1953"/>
      <c r="KT958" s="1953"/>
      <c r="KU958" s="1953"/>
      <c r="KV958" s="1953"/>
      <c r="KW958" s="1953"/>
      <c r="KX958" s="1953"/>
      <c r="KY958" s="1953"/>
      <c r="KZ958" s="1953"/>
      <c r="LA958" s="1953"/>
      <c r="LB958" s="1953"/>
      <c r="LC958" s="1953"/>
      <c r="LD958" s="1953"/>
      <c r="LE958" s="1953"/>
      <c r="LF958" s="1953"/>
    </row>
    <row r="959" spans="2:318">
      <c r="B959" s="1957"/>
      <c r="C959" s="1957" t="s">
        <v>915</v>
      </c>
      <c r="D959" s="1957"/>
      <c r="E959" s="1957"/>
      <c r="F959" s="1957"/>
      <c r="G959" s="2022">
        <f t="shared" ref="G959:P959" si="361">SUM(G957:G958)</f>
        <v>0</v>
      </c>
      <c r="H959" s="2022">
        <f t="shared" si="361"/>
        <v>0</v>
      </c>
      <c r="I959" s="2022">
        <f t="shared" si="361"/>
        <v>0</v>
      </c>
      <c r="J959" s="2022">
        <f t="shared" si="361"/>
        <v>0</v>
      </c>
      <c r="K959" s="2022">
        <f t="shared" si="361"/>
        <v>0</v>
      </c>
      <c r="L959" s="2022">
        <f t="shared" si="361"/>
        <v>0</v>
      </c>
      <c r="M959" s="2022">
        <f t="shared" si="361"/>
        <v>0</v>
      </c>
      <c r="N959" s="2022">
        <f t="shared" si="361"/>
        <v>0</v>
      </c>
      <c r="O959" s="2022">
        <f t="shared" si="361"/>
        <v>0</v>
      </c>
      <c r="P959" s="2022">
        <f t="shared" si="361"/>
        <v>0</v>
      </c>
      <c r="Q959" s="458"/>
      <c r="R959" s="1979">
        <f>'Part VI-Revenues &amp; Expenses'!R197</f>
        <v>0</v>
      </c>
      <c r="S959" s="1979"/>
      <c r="T959" s="1979"/>
      <c r="U959" s="1979"/>
      <c r="V959" s="1979"/>
      <c r="JV959" s="1953"/>
      <c r="KA959" s="1953"/>
      <c r="KB959" s="1953"/>
      <c r="KC959" s="1953"/>
      <c r="KD959" s="1953"/>
      <c r="KE959" s="1953"/>
      <c r="KF959" s="1953"/>
      <c r="KG959" s="1953"/>
      <c r="KH959" s="1953"/>
      <c r="KI959" s="1953"/>
      <c r="KJ959" s="1953"/>
      <c r="KK959" s="1953"/>
      <c r="KL959" s="1953"/>
      <c r="KM959" s="1953"/>
      <c r="KN959" s="1953"/>
      <c r="KO959" s="1953"/>
      <c r="KP959" s="1953"/>
      <c r="KQ959" s="1953"/>
      <c r="KR959" s="1953"/>
      <c r="KS959" s="1953"/>
      <c r="KT959" s="1953"/>
      <c r="KU959" s="1953"/>
      <c r="KV959" s="1953"/>
      <c r="KW959" s="1953"/>
      <c r="KX959" s="1953"/>
      <c r="KY959" s="1953"/>
      <c r="KZ959" s="1953"/>
      <c r="LA959" s="1953"/>
      <c r="LB959" s="1953"/>
      <c r="LC959" s="1953"/>
      <c r="LD959" s="1953"/>
      <c r="LE959" s="1953"/>
      <c r="LF959" s="1953"/>
    </row>
    <row r="960" spans="2:318">
      <c r="B960" s="1950" t="s">
        <v>4776</v>
      </c>
      <c r="C960" s="1203"/>
      <c r="D960" s="1203"/>
      <c r="E960" s="1203"/>
      <c r="F960" s="1203"/>
      <c r="G960" s="2023"/>
      <c r="H960" s="1203"/>
      <c r="I960" s="1203"/>
      <c r="J960" s="1203"/>
      <c r="K960" s="1203"/>
      <c r="L960" s="1203"/>
      <c r="M960" s="1203"/>
      <c r="N960" s="1203"/>
      <c r="O960" s="1203"/>
      <c r="P960" s="1203"/>
      <c r="R960" s="1311" t="str">
        <f>B960</f>
        <v>NOT Included in Mgt Fee:</v>
      </c>
      <c r="JV960" s="1953"/>
      <c r="KA960" s="1953"/>
      <c r="KB960" s="1953"/>
      <c r="KC960" s="1953"/>
      <c r="KD960" s="1953"/>
      <c r="KE960" s="1953"/>
      <c r="KF960" s="1953"/>
      <c r="KG960" s="1953"/>
      <c r="KH960" s="1953"/>
      <c r="KI960" s="1953"/>
      <c r="KJ960" s="1953"/>
      <c r="KK960" s="1953"/>
      <c r="KL960" s="1953"/>
      <c r="KM960" s="1953"/>
      <c r="KN960" s="1953"/>
      <c r="KO960" s="1953"/>
      <c r="KP960" s="1953"/>
      <c r="KQ960" s="1953"/>
      <c r="KR960" s="1953"/>
      <c r="KS960" s="1953"/>
      <c r="KT960" s="1953"/>
      <c r="KU960" s="1953"/>
      <c r="KV960" s="1953"/>
      <c r="KW960" s="1953"/>
      <c r="KX960" s="1953"/>
      <c r="KY960" s="1953"/>
      <c r="KZ960" s="1953"/>
      <c r="LA960" s="1953"/>
      <c r="LB960" s="1953"/>
      <c r="LC960" s="1953"/>
      <c r="LD960" s="1953"/>
      <c r="LE960" s="1953"/>
      <c r="LF960" s="1953"/>
    </row>
    <row r="961" spans="1:357">
      <c r="B961" s="1957" t="s">
        <v>525</v>
      </c>
      <c r="C961" s="1957"/>
      <c r="D961" s="1957"/>
      <c r="E961" s="1957"/>
      <c r="F961" s="1957"/>
      <c r="G961" s="2021">
        <f>'Part VI-Revenues &amp; Expenses'!G199</f>
        <v>0</v>
      </c>
      <c r="H961" s="2021">
        <f>'Part VI-Revenues &amp; Expenses'!H199</f>
        <v>0</v>
      </c>
      <c r="I961" s="2021">
        <f>'Part VI-Revenues &amp; Expenses'!I199</f>
        <v>0</v>
      </c>
      <c r="J961" s="2021">
        <f>'Part VI-Revenues &amp; Expenses'!J199</f>
        <v>0</v>
      </c>
      <c r="K961" s="2021">
        <f>'Part VI-Revenues &amp; Expenses'!K199</f>
        <v>0</v>
      </c>
      <c r="L961" s="2021">
        <f>'Part VI-Revenues &amp; Expenses'!L199</f>
        <v>0</v>
      </c>
      <c r="M961" s="2021">
        <f>'Part VI-Revenues &amp; Expenses'!M199</f>
        <v>0</v>
      </c>
      <c r="N961" s="2021">
        <f>'Part VI-Revenues &amp; Expenses'!N199</f>
        <v>0</v>
      </c>
      <c r="O961" s="2021">
        <f>'Part VI-Revenues &amp; Expenses'!O199</f>
        <v>0</v>
      </c>
      <c r="P961" s="2021">
        <f>'Part VI-Revenues &amp; Expenses'!P199</f>
        <v>0</v>
      </c>
      <c r="Q961" s="2013"/>
      <c r="R961" s="1979">
        <f>'Part VI-Revenues &amp; Expenses'!R199</f>
        <v>0</v>
      </c>
      <c r="S961" s="1979"/>
      <c r="T961" s="1979"/>
      <c r="U961" s="1979"/>
      <c r="V961" s="1979"/>
      <c r="JV961" s="1953"/>
      <c r="KA961" s="1953"/>
      <c r="KB961" s="1953"/>
      <c r="KC961" s="1953"/>
      <c r="KD961" s="1953"/>
      <c r="KE961" s="1953"/>
      <c r="KF961" s="1953"/>
      <c r="KG961" s="1953"/>
      <c r="KH961" s="1953"/>
      <c r="KI961" s="1953"/>
      <c r="KJ961" s="1953"/>
      <c r="KK961" s="1953"/>
      <c r="KL961" s="1953"/>
      <c r="KM961" s="1953"/>
      <c r="KN961" s="1953"/>
      <c r="KO961" s="1953"/>
      <c r="KP961" s="1953"/>
      <c r="KQ961" s="1953"/>
      <c r="KR961" s="1953"/>
      <c r="KS961" s="1953"/>
      <c r="KT961" s="1953"/>
      <c r="KU961" s="1953"/>
      <c r="KV961" s="1953"/>
      <c r="KW961" s="1953"/>
      <c r="KX961" s="1953"/>
      <c r="KY961" s="1953"/>
      <c r="KZ961" s="1953"/>
      <c r="LA961" s="1953"/>
      <c r="LB961" s="1953"/>
      <c r="LC961" s="1953"/>
      <c r="LD961" s="1953"/>
      <c r="LE961" s="1953"/>
      <c r="LF961" s="1953"/>
    </row>
    <row r="962" spans="1:357">
      <c r="B962" s="1957" t="s">
        <v>730</v>
      </c>
      <c r="C962" s="1957">
        <f>'Part VI-Revenues &amp; Expenses'!C200</f>
        <v>0</v>
      </c>
      <c r="D962" s="1957"/>
      <c r="E962" s="1957"/>
      <c r="F962" s="1957"/>
      <c r="G962" s="2021">
        <f>'Part VI-Revenues &amp; Expenses'!G200</f>
        <v>0</v>
      </c>
      <c r="H962" s="2021">
        <f>'Part VI-Revenues &amp; Expenses'!H200</f>
        <v>0</v>
      </c>
      <c r="I962" s="2021">
        <f>'Part VI-Revenues &amp; Expenses'!I200</f>
        <v>0</v>
      </c>
      <c r="J962" s="2021">
        <f>'Part VI-Revenues &amp; Expenses'!J200</f>
        <v>0</v>
      </c>
      <c r="K962" s="2021">
        <f>'Part VI-Revenues &amp; Expenses'!K200</f>
        <v>0</v>
      </c>
      <c r="L962" s="2021">
        <f>'Part VI-Revenues &amp; Expenses'!L200</f>
        <v>0</v>
      </c>
      <c r="M962" s="2021">
        <f>'Part VI-Revenues &amp; Expenses'!M200</f>
        <v>0</v>
      </c>
      <c r="N962" s="2021">
        <f>'Part VI-Revenues &amp; Expenses'!N200</f>
        <v>0</v>
      </c>
      <c r="O962" s="2021">
        <f>'Part VI-Revenues &amp; Expenses'!O200</f>
        <v>0</v>
      </c>
      <c r="P962" s="2021">
        <f>'Part VI-Revenues &amp; Expenses'!P200</f>
        <v>0</v>
      </c>
      <c r="Q962" s="2013"/>
      <c r="R962" s="1979">
        <f>'Part VI-Revenues &amp; Expenses'!R200</f>
        <v>0</v>
      </c>
      <c r="S962" s="1979"/>
      <c r="T962" s="1979"/>
      <c r="U962" s="1979"/>
      <c r="V962" s="1979"/>
      <c r="JV962" s="1953"/>
      <c r="KA962" s="1953"/>
      <c r="KB962" s="1953"/>
      <c r="KC962" s="1953"/>
      <c r="KD962" s="1953"/>
      <c r="KE962" s="1953"/>
      <c r="KF962" s="1953"/>
      <c r="KG962" s="1953"/>
      <c r="KH962" s="1953"/>
      <c r="KI962" s="1953"/>
      <c r="KJ962" s="1953"/>
      <c r="KK962" s="1953"/>
      <c r="KL962" s="1953"/>
      <c r="KM962" s="1953"/>
      <c r="KN962" s="1953"/>
      <c r="KO962" s="1953"/>
      <c r="KP962" s="1953"/>
      <c r="KQ962" s="1953"/>
      <c r="KR962" s="1953"/>
      <c r="KS962" s="1953"/>
      <c r="KT962" s="1953"/>
      <c r="KU962" s="1953"/>
      <c r="KV962" s="1953"/>
      <c r="KW962" s="1953"/>
      <c r="KX962" s="1953"/>
      <c r="KY962" s="1953"/>
      <c r="KZ962" s="1953"/>
      <c r="LA962" s="1953"/>
      <c r="LB962" s="1953"/>
      <c r="LC962" s="1953"/>
      <c r="LD962" s="1953"/>
      <c r="LE962" s="1953"/>
      <c r="LF962" s="1953"/>
    </row>
    <row r="963" spans="1:357">
      <c r="B963" s="1957"/>
      <c r="C963" s="1957" t="s">
        <v>4777</v>
      </c>
      <c r="D963" s="1957"/>
      <c r="E963" s="1957"/>
      <c r="F963" s="1957"/>
      <c r="G963" s="2022">
        <f t="shared" ref="G963:P963" si="362">SUM(G961:G962)</f>
        <v>0</v>
      </c>
      <c r="H963" s="2022">
        <f t="shared" si="362"/>
        <v>0</v>
      </c>
      <c r="I963" s="2022">
        <f t="shared" si="362"/>
        <v>0</v>
      </c>
      <c r="J963" s="2022">
        <f t="shared" si="362"/>
        <v>0</v>
      </c>
      <c r="K963" s="2022">
        <f t="shared" si="362"/>
        <v>0</v>
      </c>
      <c r="L963" s="2022">
        <f t="shared" si="362"/>
        <v>0</v>
      </c>
      <c r="M963" s="2022">
        <f t="shared" si="362"/>
        <v>0</v>
      </c>
      <c r="N963" s="2022">
        <f t="shared" si="362"/>
        <v>0</v>
      </c>
      <c r="O963" s="2022">
        <f t="shared" si="362"/>
        <v>0</v>
      </c>
      <c r="P963" s="2022">
        <f t="shared" si="362"/>
        <v>0</v>
      </c>
      <c r="Q963" s="458"/>
      <c r="R963" s="1979">
        <f>'Part VI-Revenues &amp; Expenses'!R201</f>
        <v>0</v>
      </c>
      <c r="S963" s="1979"/>
      <c r="T963" s="1979"/>
      <c r="U963" s="1979"/>
      <c r="V963" s="1979"/>
      <c r="JV963" s="1953"/>
      <c r="KA963" s="1953"/>
      <c r="KB963" s="1953"/>
      <c r="KC963" s="1953"/>
      <c r="KD963" s="1953"/>
      <c r="KE963" s="1953"/>
      <c r="KF963" s="1953"/>
      <c r="KG963" s="1953"/>
      <c r="KH963" s="1953"/>
      <c r="KI963" s="1953"/>
      <c r="KJ963" s="1953"/>
      <c r="KK963" s="1953"/>
      <c r="KL963" s="1953"/>
      <c r="KM963" s="1953"/>
      <c r="KN963" s="1953"/>
      <c r="KO963" s="1953"/>
      <c r="KP963" s="1953"/>
      <c r="KQ963" s="1953"/>
      <c r="KR963" s="1953"/>
      <c r="KS963" s="1953"/>
      <c r="KT963" s="1953"/>
      <c r="KU963" s="1953"/>
      <c r="KV963" s="1953"/>
      <c r="KW963" s="1953"/>
      <c r="KX963" s="1953"/>
      <c r="KY963" s="1953"/>
      <c r="KZ963" s="1953"/>
      <c r="LA963" s="1953"/>
      <c r="LB963" s="1953"/>
      <c r="LC963" s="1953"/>
      <c r="LD963" s="1953"/>
      <c r="LE963" s="1953"/>
      <c r="LF963" s="1953"/>
    </row>
    <row r="964" spans="1:357">
      <c r="B964" s="1203"/>
      <c r="C964" s="1203"/>
      <c r="D964" s="1203"/>
      <c r="E964" s="1203"/>
      <c r="F964" s="1203"/>
      <c r="G964" s="2023"/>
      <c r="H964" s="1203"/>
      <c r="I964" s="1203"/>
      <c r="J964" s="1203"/>
      <c r="K964" s="1203"/>
      <c r="L964" s="1203"/>
      <c r="M964" s="1203"/>
      <c r="N964" s="1203"/>
      <c r="O964" s="1203"/>
      <c r="P964" s="1203"/>
      <c r="JV964" s="1953"/>
      <c r="KA964" s="1953"/>
      <c r="KB964" s="1953"/>
      <c r="KC964" s="1953"/>
      <c r="KD964" s="1953"/>
      <c r="KE964" s="1953"/>
      <c r="KF964" s="1953"/>
      <c r="KG964" s="1953"/>
      <c r="KH964" s="1953"/>
      <c r="KI964" s="1953"/>
      <c r="KJ964" s="1953"/>
      <c r="KK964" s="1953"/>
      <c r="KL964" s="1953"/>
      <c r="KM964" s="1953"/>
      <c r="KN964" s="1953"/>
      <c r="KO964" s="1953"/>
      <c r="KP964" s="1953"/>
      <c r="KQ964" s="1953"/>
      <c r="KR964" s="1953"/>
      <c r="KS964" s="1953"/>
      <c r="KT964" s="1953"/>
      <c r="KU964" s="1953"/>
      <c r="KV964" s="1953"/>
      <c r="KW964" s="1953"/>
      <c r="KX964" s="1953"/>
      <c r="KY964" s="1953"/>
      <c r="KZ964" s="1953"/>
      <c r="LA964" s="1953"/>
      <c r="LB964" s="1953"/>
      <c r="LC964" s="1953"/>
      <c r="LD964" s="1953"/>
      <c r="LE964" s="1953"/>
      <c r="LF964" s="1953"/>
    </row>
    <row r="965" spans="1:357">
      <c r="B965" s="1950" t="s">
        <v>2257</v>
      </c>
      <c r="C965" s="1203"/>
      <c r="D965" s="1203"/>
      <c r="E965" s="1203"/>
      <c r="F965" s="1203"/>
      <c r="G965" s="2019">
        <v>31</v>
      </c>
      <c r="H965" s="2019">
        <v>32</v>
      </c>
      <c r="I965" s="2019">
        <v>33</v>
      </c>
      <c r="J965" s="2019">
        <v>34</v>
      </c>
      <c r="K965" s="2019">
        <v>35</v>
      </c>
      <c r="L965" s="1203"/>
      <c r="M965" s="1203"/>
      <c r="N965" s="1203"/>
      <c r="O965" s="1203"/>
      <c r="P965" s="1203"/>
      <c r="R965" s="1981" t="s">
        <v>2589</v>
      </c>
      <c r="S965" s="1311" t="str">
        <f>B965</f>
        <v>Included in Mgt Fee:</v>
      </c>
      <c r="JV965" s="1953"/>
      <c r="KA965" s="1953"/>
      <c r="KB965" s="1953"/>
      <c r="KC965" s="1953"/>
      <c r="KD965" s="1953"/>
      <c r="KE965" s="1953"/>
      <c r="KF965" s="1953"/>
      <c r="KG965" s="1953"/>
      <c r="KH965" s="1953"/>
      <c r="KI965" s="1953"/>
      <c r="KJ965" s="1953"/>
      <c r="KK965" s="1953"/>
      <c r="KL965" s="1953"/>
      <c r="KM965" s="1953"/>
      <c r="KN965" s="1953"/>
      <c r="KO965" s="1953"/>
      <c r="KP965" s="1953"/>
      <c r="KQ965" s="1953"/>
      <c r="KR965" s="1953"/>
      <c r="KS965" s="1953"/>
      <c r="KT965" s="1953"/>
      <c r="KU965" s="1953"/>
      <c r="KV965" s="1953"/>
      <c r="KW965" s="1953"/>
      <c r="KX965" s="1953"/>
      <c r="KY965" s="1953"/>
      <c r="KZ965" s="1953"/>
      <c r="LA965" s="1953"/>
      <c r="LB965" s="1953"/>
      <c r="LC965" s="1953"/>
      <c r="LD965" s="1953"/>
      <c r="LE965" s="1953"/>
      <c r="LF965" s="1953"/>
    </row>
    <row r="966" spans="1:357">
      <c r="B966" s="1957" t="s">
        <v>1004</v>
      </c>
      <c r="C966" s="1957"/>
      <c r="D966" s="1957"/>
      <c r="E966" s="1957"/>
      <c r="F966" s="1957"/>
      <c r="G966" s="2021">
        <f>'Part VI-Revenues &amp; Expenses'!G204</f>
        <v>0</v>
      </c>
      <c r="H966" s="2021">
        <f>'Part VI-Revenues &amp; Expenses'!H204</f>
        <v>0</v>
      </c>
      <c r="I966" s="2021">
        <f>'Part VI-Revenues &amp; Expenses'!I204</f>
        <v>0</v>
      </c>
      <c r="J966" s="2021">
        <f>'Part VI-Revenues &amp; Expenses'!J204</f>
        <v>0</v>
      </c>
      <c r="K966" s="2021">
        <f>'Part VI-Revenues &amp; Expenses'!K204</f>
        <v>0</v>
      </c>
      <c r="L966" s="1203"/>
      <c r="M966" s="1203"/>
      <c r="N966" s="1203"/>
      <c r="O966" s="1203"/>
      <c r="P966" s="1203"/>
      <c r="R966" s="1979">
        <f>'Part VI-Revenues &amp; Expenses'!R204</f>
        <v>0</v>
      </c>
      <c r="S966" s="1979"/>
      <c r="T966" s="1979"/>
      <c r="U966" s="1979"/>
      <c r="V966" s="1979"/>
      <c r="JV966" s="1953"/>
      <c r="KA966" s="1953"/>
      <c r="KB966" s="1953"/>
      <c r="KC966" s="1953"/>
      <c r="KD966" s="1953"/>
      <c r="KE966" s="1953"/>
      <c r="KF966" s="1953"/>
      <c r="KG966" s="1953"/>
      <c r="KH966" s="1953"/>
      <c r="KI966" s="1953"/>
      <c r="KJ966" s="1953"/>
      <c r="KK966" s="1953"/>
      <c r="KL966" s="1953"/>
      <c r="KM966" s="1953"/>
      <c r="KN966" s="1953"/>
      <c r="KO966" s="1953"/>
      <c r="KP966" s="1953"/>
      <c r="KQ966" s="1953"/>
      <c r="KR966" s="1953"/>
      <c r="KS966" s="1953"/>
      <c r="KT966" s="1953"/>
      <c r="KU966" s="1953"/>
      <c r="KV966" s="1953"/>
      <c r="KW966" s="1953"/>
      <c r="KX966" s="1953"/>
      <c r="KY966" s="1953"/>
      <c r="KZ966" s="1953"/>
      <c r="LA966" s="1953"/>
      <c r="LB966" s="1953"/>
      <c r="LC966" s="1953"/>
      <c r="LD966" s="1953"/>
      <c r="LE966" s="1953"/>
      <c r="LF966" s="1953"/>
    </row>
    <row r="967" spans="1:357">
      <c r="B967" s="1957" t="s">
        <v>730</v>
      </c>
      <c r="C967" s="1957">
        <f>'Part VI-Revenues &amp; Expenses'!C205</f>
        <v>0</v>
      </c>
      <c r="D967" s="1957"/>
      <c r="E967" s="1957"/>
      <c r="F967" s="1957"/>
      <c r="G967" s="2021">
        <f>'Part VI-Revenues &amp; Expenses'!G205</f>
        <v>0</v>
      </c>
      <c r="H967" s="2021">
        <f>'Part VI-Revenues &amp; Expenses'!H205</f>
        <v>0</v>
      </c>
      <c r="I967" s="2021">
        <f>'Part VI-Revenues &amp; Expenses'!I205</f>
        <v>0</v>
      </c>
      <c r="J967" s="2021">
        <f>'Part VI-Revenues &amp; Expenses'!J205</f>
        <v>0</v>
      </c>
      <c r="K967" s="2021">
        <f>'Part VI-Revenues &amp; Expenses'!K205</f>
        <v>0</v>
      </c>
      <c r="L967" s="1203"/>
      <c r="M967" s="1203"/>
      <c r="N967" s="1203"/>
      <c r="O967" s="1203"/>
      <c r="P967" s="1203"/>
      <c r="R967" s="1979">
        <f>'Part VI-Revenues &amp; Expenses'!R205</f>
        <v>0</v>
      </c>
      <c r="S967" s="1979"/>
      <c r="T967" s="1979"/>
      <c r="U967" s="1979"/>
      <c r="V967" s="1979"/>
      <c r="JV967" s="1953"/>
      <c r="KA967" s="1953"/>
      <c r="KB967" s="1953"/>
      <c r="KC967" s="1953"/>
      <c r="KD967" s="1953"/>
      <c r="KE967" s="1953"/>
      <c r="KF967" s="1953"/>
      <c r="KG967" s="1953"/>
      <c r="KH967" s="1953"/>
      <c r="KI967" s="1953"/>
      <c r="KJ967" s="1953"/>
      <c r="KK967" s="1953"/>
      <c r="KL967" s="1953"/>
      <c r="KM967" s="1953"/>
      <c r="KN967" s="1953"/>
      <c r="KO967" s="1953"/>
      <c r="KP967" s="1953"/>
      <c r="KQ967" s="1953"/>
      <c r="KR967" s="1953"/>
      <c r="KS967" s="1953"/>
      <c r="KT967" s="1953"/>
      <c r="KU967" s="1953"/>
      <c r="KV967" s="1953"/>
      <c r="KW967" s="1953"/>
      <c r="KX967" s="1953"/>
      <c r="KY967" s="1953"/>
      <c r="KZ967" s="1953"/>
      <c r="LA967" s="1953"/>
      <c r="LB967" s="1953"/>
      <c r="LC967" s="1953"/>
      <c r="LD967" s="1953"/>
      <c r="LE967" s="1953"/>
      <c r="LF967" s="1953"/>
    </row>
    <row r="968" spans="1:357">
      <c r="B968" s="1957"/>
      <c r="C968" s="1957" t="s">
        <v>915</v>
      </c>
      <c r="D968" s="1957"/>
      <c r="E968" s="1957"/>
      <c r="F968" s="1957"/>
      <c r="G968" s="2022">
        <f>SUM(G966:G967)</f>
        <v>0</v>
      </c>
      <c r="H968" s="2022">
        <f>SUM(H966:H967)</f>
        <v>0</v>
      </c>
      <c r="I968" s="2022">
        <f>SUM(I966:I967)</f>
        <v>0</v>
      </c>
      <c r="J968" s="2022">
        <f>SUM(J966:J967)</f>
        <v>0</v>
      </c>
      <c r="K968" s="2022">
        <f>SUM(K966:K967)</f>
        <v>0</v>
      </c>
      <c r="L968" s="1203"/>
      <c r="M968" s="1203"/>
      <c r="N968" s="1203"/>
      <c r="O968" s="1203"/>
      <c r="P968" s="1203"/>
      <c r="R968" s="1979">
        <f>'Part VI-Revenues &amp; Expenses'!R206</f>
        <v>0</v>
      </c>
      <c r="S968" s="1979"/>
      <c r="T968" s="1979"/>
      <c r="U968" s="1979"/>
      <c r="V968" s="1979"/>
      <c r="JV968" s="1953"/>
      <c r="KA968" s="1953"/>
      <c r="KB968" s="1953"/>
      <c r="KC968" s="1953"/>
      <c r="KD968" s="1953"/>
      <c r="KE968" s="1953"/>
      <c r="KF968" s="1953"/>
      <c r="KG968" s="1953"/>
      <c r="KH968" s="1953"/>
      <c r="KI968" s="1953"/>
      <c r="KJ968" s="1953"/>
      <c r="KK968" s="1953"/>
      <c r="KL968" s="1953"/>
      <c r="KM968" s="1953"/>
      <c r="KN968" s="1953"/>
      <c r="KO968" s="1953"/>
      <c r="KP968" s="1953"/>
      <c r="KQ968" s="1953"/>
      <c r="KR968" s="1953"/>
      <c r="KS968" s="1953"/>
      <c r="KT968" s="1953"/>
      <c r="KU968" s="1953"/>
      <c r="KV968" s="1953"/>
      <c r="KW968" s="1953"/>
      <c r="KX968" s="1953"/>
      <c r="KY968" s="1953"/>
      <c r="KZ968" s="1953"/>
      <c r="LA968" s="1953"/>
      <c r="LB968" s="1953"/>
      <c r="LC968" s="1953"/>
      <c r="LD968" s="1953"/>
      <c r="LE968" s="1953"/>
      <c r="LF968" s="1953"/>
    </row>
    <row r="969" spans="1:357">
      <c r="B969" s="1950" t="s">
        <v>4776</v>
      </c>
      <c r="C969" s="1203"/>
      <c r="D969" s="1203"/>
      <c r="E969" s="1203"/>
      <c r="F969" s="1203"/>
      <c r="G969" s="2023"/>
      <c r="H969" s="1203"/>
      <c r="I969" s="1203"/>
      <c r="J969" s="1203"/>
      <c r="K969" s="1203"/>
      <c r="L969" s="1203"/>
      <c r="M969" s="1203"/>
      <c r="N969" s="1203"/>
      <c r="O969" s="1203"/>
      <c r="P969" s="1203"/>
      <c r="R969" s="1311" t="str">
        <f>B969</f>
        <v>NOT Included in Mgt Fee:</v>
      </c>
      <c r="JV969" s="1953"/>
      <c r="KA969" s="1953"/>
      <c r="KB969" s="1953"/>
      <c r="KC969" s="1953"/>
      <c r="KD969" s="1953"/>
      <c r="KE969" s="1953"/>
      <c r="KF969" s="1953"/>
      <c r="KG969" s="1953"/>
      <c r="KH969" s="1953"/>
      <c r="KI969" s="1953"/>
      <c r="KJ969" s="1953"/>
      <c r="KK969" s="1953"/>
      <c r="KL969" s="1953"/>
      <c r="KM969" s="1953"/>
      <c r="KN969" s="1953"/>
      <c r="KO969" s="1953"/>
      <c r="KP969" s="1953"/>
      <c r="KQ969" s="1953"/>
      <c r="KR969" s="1953"/>
      <c r="KS969" s="1953"/>
      <c r="KT969" s="1953"/>
      <c r="KU969" s="1953"/>
      <c r="KV969" s="1953"/>
      <c r="KW969" s="1953"/>
      <c r="KX969" s="1953"/>
      <c r="KY969" s="1953"/>
      <c r="KZ969" s="1953"/>
      <c r="LA969" s="1953"/>
      <c r="LB969" s="1953"/>
      <c r="LC969" s="1953"/>
      <c r="LD969" s="1953"/>
      <c r="LE969" s="1953"/>
      <c r="LF969" s="1953"/>
    </row>
    <row r="970" spans="1:357">
      <c r="B970" s="1957" t="s">
        <v>525</v>
      </c>
      <c r="C970" s="1957"/>
      <c r="D970" s="1957"/>
      <c r="E970" s="1957"/>
      <c r="F970" s="1957"/>
      <c r="G970" s="2021">
        <f>'Part VI-Revenues &amp; Expenses'!G208</f>
        <v>0</v>
      </c>
      <c r="H970" s="2021">
        <f>'Part VI-Revenues &amp; Expenses'!H208</f>
        <v>0</v>
      </c>
      <c r="I970" s="2021">
        <f>'Part VI-Revenues &amp; Expenses'!I208</f>
        <v>0</v>
      </c>
      <c r="J970" s="2021">
        <f>'Part VI-Revenues &amp; Expenses'!J208</f>
        <v>0</v>
      </c>
      <c r="K970" s="2021">
        <f>'Part VI-Revenues &amp; Expenses'!K208</f>
        <v>0</v>
      </c>
      <c r="L970" s="1203"/>
      <c r="M970" s="1203"/>
      <c r="N970" s="1203"/>
      <c r="O970" s="1203"/>
      <c r="P970" s="1203"/>
      <c r="R970" s="1979">
        <f>'Part VI-Revenues &amp; Expenses'!R208</f>
        <v>0</v>
      </c>
      <c r="S970" s="1979"/>
      <c r="T970" s="1979"/>
      <c r="U970" s="1979"/>
      <c r="V970" s="1979"/>
      <c r="JV970" s="1953"/>
      <c r="KA970" s="1953"/>
      <c r="KB970" s="1953"/>
      <c r="KC970" s="1953"/>
      <c r="KD970" s="1953"/>
      <c r="KE970" s="1953"/>
      <c r="KF970" s="1953"/>
      <c r="KG970" s="1953"/>
      <c r="KH970" s="1953"/>
      <c r="KI970" s="1953"/>
      <c r="KJ970" s="1953"/>
      <c r="KK970" s="1953"/>
      <c r="KL970" s="1953"/>
      <c r="KM970" s="1953"/>
      <c r="KN970" s="1953"/>
      <c r="KO970" s="1953"/>
      <c r="KP970" s="1953"/>
      <c r="KQ970" s="1953"/>
      <c r="KR970" s="1953"/>
      <c r="KS970" s="1953"/>
      <c r="KT970" s="1953"/>
      <c r="KU970" s="1953"/>
      <c r="KV970" s="1953"/>
      <c r="KW970" s="1953"/>
      <c r="KX970" s="1953"/>
      <c r="KY970" s="1953"/>
      <c r="KZ970" s="1953"/>
      <c r="LA970" s="1953"/>
      <c r="LB970" s="1953"/>
      <c r="LC970" s="1953"/>
      <c r="LD970" s="1953"/>
      <c r="LE970" s="1953"/>
      <c r="LF970" s="1953"/>
    </row>
    <row r="971" spans="1:357">
      <c r="B971" s="1957" t="s">
        <v>730</v>
      </c>
      <c r="C971" s="1957">
        <f>'Part VI-Revenues &amp; Expenses'!C209</f>
        <v>0</v>
      </c>
      <c r="D971" s="1957"/>
      <c r="E971" s="1957"/>
      <c r="F971" s="1957"/>
      <c r="G971" s="2021">
        <f>'Part VI-Revenues &amp; Expenses'!G209</f>
        <v>0</v>
      </c>
      <c r="H971" s="2021">
        <f>'Part VI-Revenues &amp; Expenses'!H209</f>
        <v>0</v>
      </c>
      <c r="I971" s="2021">
        <f>'Part VI-Revenues &amp; Expenses'!I209</f>
        <v>0</v>
      </c>
      <c r="J971" s="2021">
        <f>'Part VI-Revenues &amp; Expenses'!J209</f>
        <v>0</v>
      </c>
      <c r="K971" s="2021">
        <f>'Part VI-Revenues &amp; Expenses'!K209</f>
        <v>0</v>
      </c>
      <c r="L971" s="1203"/>
      <c r="M971" s="1203"/>
      <c r="N971" s="1203"/>
      <c r="O971" s="1203"/>
      <c r="P971" s="1203"/>
      <c r="R971" s="1979">
        <f>'Part VI-Revenues &amp; Expenses'!R209</f>
        <v>0</v>
      </c>
      <c r="S971" s="1979"/>
      <c r="T971" s="1979"/>
      <c r="U971" s="1979"/>
      <c r="V971" s="1979"/>
      <c r="JV971" s="1953"/>
      <c r="KA971" s="1953"/>
      <c r="KB971" s="1953"/>
      <c r="KC971" s="1953"/>
      <c r="KD971" s="1953"/>
      <c r="KE971" s="1953"/>
      <c r="KF971" s="1953"/>
      <c r="KG971" s="1953"/>
      <c r="KH971" s="1953"/>
      <c r="KI971" s="1953"/>
      <c r="KJ971" s="1953"/>
      <c r="KK971" s="1953"/>
      <c r="KL971" s="1953"/>
      <c r="KM971" s="1953"/>
      <c r="KN971" s="1953"/>
      <c r="KO971" s="1953"/>
      <c r="KP971" s="1953"/>
      <c r="KQ971" s="1953"/>
      <c r="KR971" s="1953"/>
      <c r="KS971" s="1953"/>
      <c r="KT971" s="1953"/>
      <c r="KU971" s="1953"/>
      <c r="KV971" s="1953"/>
      <c r="KW971" s="1953"/>
      <c r="KX971" s="1953"/>
      <c r="KY971" s="1953"/>
      <c r="KZ971" s="1953"/>
      <c r="LA971" s="1953"/>
      <c r="LB971" s="1953"/>
      <c r="LC971" s="1953"/>
      <c r="LD971" s="1953"/>
      <c r="LE971" s="1953"/>
      <c r="LF971" s="1953"/>
    </row>
    <row r="972" spans="1:357">
      <c r="B972" s="1957"/>
      <c r="C972" s="1957" t="s">
        <v>4777</v>
      </c>
      <c r="D972" s="1957"/>
      <c r="E972" s="1957"/>
      <c r="F972" s="1957"/>
      <c r="G972" s="2022">
        <f>SUM(G970:G971)</f>
        <v>0</v>
      </c>
      <c r="H972" s="2022">
        <f>SUM(H970:H971)</f>
        <v>0</v>
      </c>
      <c r="I972" s="2022">
        <f>SUM(I970:I971)</f>
        <v>0</v>
      </c>
      <c r="J972" s="2022">
        <f>SUM(J970:J971)</f>
        <v>0</v>
      </c>
      <c r="K972" s="2022">
        <f>SUM(K970:K971)</f>
        <v>0</v>
      </c>
      <c r="L972" s="1203"/>
      <c r="M972" s="1203"/>
      <c r="N972" s="1203"/>
      <c r="O972" s="1203"/>
      <c r="P972" s="1203"/>
      <c r="R972" s="1979">
        <f>'Part VI-Revenues &amp; Expenses'!R210</f>
        <v>0</v>
      </c>
      <c r="S972" s="1979"/>
      <c r="T972" s="1979"/>
      <c r="U972" s="1979"/>
      <c r="V972" s="1979"/>
      <c r="JV972" s="1953"/>
      <c r="KA972" s="1953"/>
      <c r="KB972" s="1953"/>
      <c r="KC972" s="1953"/>
      <c r="KD972" s="1953"/>
      <c r="KE972" s="1953"/>
      <c r="KF972" s="1953"/>
      <c r="KG972" s="1953"/>
      <c r="KH972" s="1953"/>
      <c r="KI972" s="1953"/>
      <c r="KJ972" s="1953"/>
      <c r="KK972" s="1953"/>
      <c r="KL972" s="1953"/>
      <c r="KM972" s="1953"/>
      <c r="KN972" s="1953"/>
      <c r="KO972" s="1953"/>
      <c r="KP972" s="1953"/>
      <c r="KQ972" s="1953"/>
      <c r="KR972" s="1953"/>
      <c r="KS972" s="1953"/>
      <c r="KT972" s="1953"/>
      <c r="KU972" s="1953"/>
      <c r="KV972" s="1953"/>
      <c r="KW972" s="1953"/>
      <c r="KX972" s="1953"/>
      <c r="KY972" s="1953"/>
      <c r="KZ972" s="1953"/>
      <c r="LA972" s="1953"/>
      <c r="LB972" s="1953"/>
      <c r="LC972" s="1953"/>
      <c r="LD972" s="1953"/>
      <c r="LE972" s="1953"/>
      <c r="LF972" s="1953"/>
    </row>
    <row r="973" spans="1:357">
      <c r="F973" s="2024"/>
      <c r="G973" s="2024"/>
      <c r="JV973" s="1953"/>
      <c r="KA973" s="1953"/>
      <c r="KB973" s="1953"/>
      <c r="KC973" s="1953"/>
      <c r="KD973" s="1953"/>
      <c r="KE973" s="1953"/>
      <c r="KF973" s="1953"/>
      <c r="KG973" s="1953"/>
      <c r="KH973" s="1953"/>
      <c r="KI973" s="1953"/>
      <c r="KJ973" s="1953"/>
      <c r="KK973" s="1953"/>
      <c r="KL973" s="1953"/>
      <c r="KM973" s="1953"/>
      <c r="KN973" s="1953"/>
      <c r="KO973" s="1953"/>
      <c r="KP973" s="1953"/>
      <c r="KQ973" s="1953"/>
      <c r="KR973" s="1953"/>
      <c r="KS973" s="1953"/>
      <c r="KT973" s="1953"/>
      <c r="KU973" s="1953"/>
      <c r="KV973" s="1953"/>
      <c r="KW973" s="1953"/>
      <c r="KX973" s="1953"/>
      <c r="KY973" s="1953"/>
      <c r="KZ973" s="1953"/>
      <c r="LA973" s="1953"/>
      <c r="LB973" s="1953"/>
      <c r="LC973" s="1953"/>
      <c r="LD973" s="1953"/>
      <c r="LE973" s="1953"/>
      <c r="LF973" s="1953"/>
    </row>
    <row r="974" spans="1:357">
      <c r="A974" s="1311" t="s">
        <v>1770</v>
      </c>
      <c r="B974" s="1949" t="s">
        <v>1006</v>
      </c>
      <c r="C974" s="1949"/>
      <c r="D974" s="1949"/>
      <c r="E974" s="1949"/>
      <c r="F974" s="1949"/>
      <c r="G974" s="1949"/>
      <c r="H974" s="1949"/>
      <c r="I974" s="1949"/>
      <c r="J974" s="1949"/>
      <c r="K974" s="1949"/>
      <c r="L974" s="1311"/>
      <c r="M974" s="1988"/>
      <c r="N974" s="1955"/>
      <c r="O974" s="1955"/>
      <c r="P974" s="1311"/>
      <c r="Q974" s="1311"/>
      <c r="R974" s="1311" t="str">
        <f>B974</f>
        <v>ANNUAL OPERATING EXPENSE BUDGET</v>
      </c>
      <c r="T974" s="1311"/>
      <c r="U974" s="1311"/>
      <c r="V974" s="1311"/>
      <c r="X974" s="1311"/>
      <c r="Y974" s="1311"/>
      <c r="Z974" s="1311"/>
      <c r="AA974" s="1311"/>
      <c r="AC974" s="1311"/>
      <c r="AD974" s="1311"/>
      <c r="AE974" s="1311"/>
      <c r="AF974" s="1311"/>
      <c r="AH974" s="1311"/>
      <c r="AI974" s="1311"/>
      <c r="AJ974" s="1311"/>
      <c r="AK974" s="1311"/>
      <c r="AM974" s="1311"/>
      <c r="AN974" s="1311"/>
      <c r="AO974" s="1311"/>
      <c r="AP974" s="1311"/>
      <c r="AQ974" s="1311"/>
      <c r="AR974" s="1311"/>
      <c r="AS974" s="1311"/>
      <c r="AT974" s="1311"/>
      <c r="AU974" s="1311"/>
      <c r="AV974" s="1311"/>
      <c r="AW974" s="1311"/>
      <c r="AX974" s="1311"/>
      <c r="AY974" s="1311"/>
      <c r="AZ974" s="1311"/>
      <c r="BA974" s="1311"/>
      <c r="BB974" s="1311"/>
      <c r="BC974" s="1311"/>
      <c r="BD974" s="1311"/>
      <c r="BE974" s="1311"/>
      <c r="BF974" s="1311"/>
      <c r="BG974" s="1311"/>
      <c r="BH974" s="1311"/>
      <c r="BI974" s="1311"/>
      <c r="BJ974" s="1311"/>
      <c r="BK974" s="1311"/>
      <c r="BL974" s="1311"/>
      <c r="BM974" s="1311"/>
      <c r="BN974" s="1311"/>
      <c r="BO974" s="1311"/>
      <c r="BP974" s="1311"/>
      <c r="BQ974" s="1311"/>
      <c r="BR974" s="1311"/>
      <c r="BS974" s="1311"/>
      <c r="BT974" s="1311"/>
      <c r="BU974" s="1311"/>
      <c r="BV974" s="1311"/>
      <c r="BW974" s="1311"/>
      <c r="BX974" s="1311"/>
      <c r="BY974" s="1311"/>
      <c r="BZ974" s="1311"/>
      <c r="CA974" s="1311"/>
      <c r="CB974" s="1311"/>
      <c r="CC974" s="1311"/>
      <c r="CD974" s="1311"/>
      <c r="CE974" s="1311"/>
      <c r="CF974" s="1311"/>
      <c r="CG974" s="1311"/>
      <c r="CH974" s="1311"/>
      <c r="CI974" s="1311"/>
      <c r="CJ974" s="1311"/>
      <c r="CK974" s="1311"/>
      <c r="CL974" s="1311"/>
      <c r="CM974" s="1311"/>
      <c r="CN974" s="1311"/>
      <c r="CO974" s="1311"/>
      <c r="CP974" s="1311"/>
      <c r="CQ974" s="1311"/>
      <c r="CR974" s="1311"/>
      <c r="CS974" s="1311"/>
      <c r="CT974" s="1311"/>
      <c r="CU974" s="1311"/>
      <c r="CV974" s="1311"/>
      <c r="CW974" s="1311"/>
      <c r="CX974" s="1311"/>
      <c r="CY974" s="1311"/>
      <c r="CZ974" s="1311"/>
      <c r="DA974" s="1311"/>
      <c r="DB974" s="1311"/>
      <c r="DC974" s="1311"/>
      <c r="DD974" s="1311"/>
      <c r="DE974" s="1311"/>
      <c r="DF974" s="1311"/>
      <c r="DG974" s="1311"/>
      <c r="DH974" s="1311"/>
      <c r="DI974" s="1311"/>
      <c r="DJ974" s="1311"/>
      <c r="DK974" s="1311"/>
      <c r="DL974" s="1311"/>
      <c r="DM974" s="1311"/>
      <c r="DN974" s="1311"/>
      <c r="DO974" s="1311"/>
      <c r="DP974" s="1311"/>
      <c r="DQ974" s="1311"/>
      <c r="DR974" s="1311"/>
      <c r="DS974" s="1311"/>
      <c r="DT974" s="1311"/>
      <c r="DU974" s="1311"/>
      <c r="DV974" s="1311"/>
      <c r="DW974" s="1311"/>
      <c r="DX974" s="1311"/>
      <c r="DY974" s="1311"/>
      <c r="DZ974" s="1311"/>
      <c r="EA974" s="1311"/>
      <c r="EB974" s="1311"/>
      <c r="EC974" s="1311"/>
      <c r="ED974" s="1311"/>
      <c r="EE974" s="1311"/>
      <c r="EF974" s="1311"/>
      <c r="EG974" s="1311"/>
      <c r="EH974" s="1311"/>
      <c r="EI974" s="1311"/>
      <c r="EJ974" s="1311"/>
      <c r="EK974" s="1311"/>
      <c r="EL974" s="1311"/>
      <c r="EM974" s="1311"/>
      <c r="EN974" s="1311"/>
      <c r="EO974" s="1311"/>
      <c r="EP974" s="1311"/>
      <c r="EQ974" s="1311"/>
      <c r="ER974" s="1311"/>
      <c r="ES974" s="1311"/>
      <c r="ET974" s="1311"/>
      <c r="EU974" s="1311"/>
      <c r="EV974" s="1311"/>
      <c r="EW974" s="1311"/>
      <c r="EX974" s="1311"/>
      <c r="EY974" s="1311"/>
      <c r="EZ974" s="1311"/>
      <c r="FA974" s="1311"/>
      <c r="FB974" s="1311"/>
      <c r="FC974" s="1311"/>
      <c r="FD974" s="1311"/>
      <c r="FE974" s="1311"/>
      <c r="FF974" s="1311"/>
      <c r="FG974" s="1311"/>
      <c r="FH974" s="1311"/>
      <c r="FI974" s="1311"/>
      <c r="FJ974" s="1311"/>
      <c r="FK974" s="1311"/>
      <c r="FL974" s="1311"/>
      <c r="FM974" s="1311"/>
      <c r="FN974" s="1311"/>
      <c r="FO974" s="1311"/>
      <c r="FP974" s="1311"/>
      <c r="FQ974" s="1311"/>
      <c r="FR974" s="1311"/>
      <c r="FS974" s="1311"/>
      <c r="FT974" s="1311"/>
      <c r="FU974" s="1311"/>
      <c r="FV974" s="1311"/>
      <c r="FW974" s="1311"/>
      <c r="FX974" s="1311"/>
      <c r="FY974" s="1311"/>
      <c r="FZ974" s="1311"/>
      <c r="GA974" s="1311"/>
      <c r="GB974" s="1311"/>
      <c r="GC974" s="1311"/>
      <c r="GD974" s="1311"/>
      <c r="GE974" s="1311"/>
      <c r="GF974" s="1311"/>
      <c r="GG974" s="1311"/>
      <c r="GH974" s="1311"/>
      <c r="GI974" s="1311"/>
      <c r="GJ974" s="1311"/>
      <c r="GK974" s="1311"/>
      <c r="GL974" s="1311"/>
      <c r="GM974" s="1311"/>
      <c r="GN974" s="1311"/>
      <c r="GO974" s="1311"/>
      <c r="GP974" s="1311"/>
      <c r="GQ974" s="1311"/>
      <c r="GR974" s="1311"/>
      <c r="GS974" s="1311"/>
      <c r="GT974" s="1311"/>
      <c r="GU974" s="1311"/>
      <c r="GV974" s="1311"/>
      <c r="GW974" s="1311"/>
      <c r="GX974" s="1311"/>
      <c r="GY974" s="1311"/>
      <c r="GZ974" s="1311"/>
      <c r="HA974" s="1311"/>
      <c r="HB974" s="1311"/>
      <c r="HC974" s="1311"/>
      <c r="HD974" s="1311"/>
      <c r="HE974" s="1311"/>
      <c r="HF974" s="1311"/>
      <c r="HG974" s="1311"/>
      <c r="HH974" s="1311"/>
      <c r="HI974" s="1311"/>
      <c r="HJ974" s="1311"/>
      <c r="HK974" s="1311"/>
      <c r="HL974" s="1311"/>
      <c r="HM974" s="1311"/>
      <c r="HN974" s="1311"/>
      <c r="HO974" s="1311"/>
      <c r="HP974" s="1311"/>
      <c r="HQ974" s="1311"/>
      <c r="HR974" s="1311"/>
      <c r="HS974" s="1311"/>
      <c r="HT974" s="1311"/>
      <c r="HU974" s="1311"/>
      <c r="HV974" s="1311"/>
      <c r="HW974" s="1311"/>
      <c r="HX974" s="1311"/>
      <c r="HY974" s="1311"/>
      <c r="HZ974" s="1311"/>
      <c r="IA974" s="1311"/>
      <c r="IB974" s="1311"/>
      <c r="IC974" s="1311"/>
      <c r="ID974" s="1311"/>
      <c r="IE974" s="1311"/>
      <c r="IF974" s="1311"/>
      <c r="IG974" s="1311"/>
      <c r="IH974" s="1311"/>
      <c r="II974" s="1311"/>
      <c r="IJ974" s="1311"/>
      <c r="IK974" s="1311"/>
      <c r="IL974" s="1311"/>
      <c r="IM974" s="1311"/>
      <c r="IN974" s="1311"/>
      <c r="IO974" s="1311"/>
      <c r="IP974" s="1311"/>
      <c r="IQ974" s="1311"/>
      <c r="IR974" s="1311"/>
      <c r="IS974" s="1311"/>
      <c r="IT974" s="1311"/>
      <c r="IU974" s="1311"/>
      <c r="IV974" s="1311"/>
      <c r="IW974" s="1311"/>
      <c r="IX974" s="1311"/>
      <c r="IY974" s="1311"/>
      <c r="IZ974" s="1311"/>
      <c r="JA974" s="1311"/>
      <c r="JB974" s="1311"/>
      <c r="JC974" s="1311"/>
      <c r="JD974" s="1311"/>
      <c r="JE974" s="1311"/>
      <c r="JF974" s="1311"/>
      <c r="JG974" s="1311"/>
      <c r="JH974" s="1311"/>
      <c r="JI974" s="1311"/>
      <c r="JJ974" s="1311"/>
      <c r="JK974" s="1311"/>
      <c r="JL974" s="1311"/>
      <c r="JM974" s="1311"/>
      <c r="JN974" s="1311"/>
      <c r="JO974" s="1311"/>
      <c r="JP974" s="1311"/>
      <c r="JQ974" s="1311"/>
      <c r="JR974" s="1311"/>
      <c r="JS974" s="1311"/>
      <c r="JT974" s="1311"/>
      <c r="JU974" s="1311"/>
      <c r="JV974" s="1955"/>
      <c r="JW974" s="1311"/>
      <c r="JX974" s="1311"/>
      <c r="JY974" s="1311"/>
      <c r="JZ974" s="1311"/>
      <c r="KA974" s="1955"/>
      <c r="KB974" s="1955"/>
      <c r="KC974" s="1955"/>
      <c r="KD974" s="1955"/>
      <c r="KE974" s="1955"/>
      <c r="KF974" s="1955"/>
      <c r="KG974" s="1955"/>
      <c r="KH974" s="1955"/>
      <c r="KI974" s="1955"/>
      <c r="KJ974" s="1955"/>
      <c r="KK974" s="1955"/>
      <c r="KL974" s="1955"/>
      <c r="KM974" s="1955"/>
      <c r="KN974" s="1955"/>
      <c r="KO974" s="1955"/>
      <c r="KP974" s="1955"/>
      <c r="KQ974" s="1955"/>
      <c r="KR974" s="1955"/>
      <c r="KS974" s="1955"/>
      <c r="KT974" s="1955"/>
      <c r="KU974" s="1955"/>
      <c r="KV974" s="1955"/>
      <c r="KW974" s="1955"/>
      <c r="KX974" s="1955"/>
      <c r="KY974" s="1955"/>
      <c r="KZ974" s="1955"/>
      <c r="LA974" s="1955"/>
      <c r="LB974" s="1955"/>
      <c r="LC974" s="1955"/>
      <c r="LD974" s="1955"/>
      <c r="LE974" s="1955"/>
      <c r="LF974" s="1955"/>
      <c r="LG974" s="1311"/>
      <c r="LH974" s="1311"/>
      <c r="LI974" s="1311"/>
      <c r="LJ974" s="1311"/>
      <c r="LK974" s="1311"/>
      <c r="LL974" s="1311"/>
      <c r="LM974" s="1311"/>
      <c r="LN974" s="1311"/>
      <c r="LO974" s="1311"/>
      <c r="LP974" s="1311"/>
      <c r="LQ974" s="1311"/>
      <c r="LR974" s="1311"/>
      <c r="LS974" s="1311"/>
      <c r="LT974" s="1311"/>
      <c r="LU974" s="1311"/>
      <c r="LV974" s="1311"/>
      <c r="LW974" s="1311"/>
      <c r="LX974" s="1311"/>
      <c r="LY974" s="1311"/>
      <c r="LZ974" s="1311"/>
      <c r="MA974" s="1311"/>
      <c r="MB974" s="1311"/>
      <c r="MC974" s="1311"/>
      <c r="MD974" s="1311"/>
      <c r="ME974" s="1311"/>
      <c r="MF974" s="1311"/>
      <c r="MG974" s="1311"/>
      <c r="MH974" s="1311"/>
      <c r="MI974" s="1311"/>
      <c r="MJ974" s="1311"/>
      <c r="MK974" s="1311"/>
      <c r="ML974" s="1311"/>
      <c r="MM974" s="1311"/>
      <c r="MN974" s="1311"/>
      <c r="MO974" s="1311"/>
      <c r="MP974" s="1311"/>
      <c r="MQ974" s="1311"/>
      <c r="MR974" s="1311"/>
      <c r="MS974" s="1311"/>
    </row>
    <row r="975" spans="1:357">
      <c r="A975" s="1311"/>
      <c r="B975" s="1949"/>
      <c r="C975" s="1949"/>
      <c r="D975" s="1949"/>
      <c r="E975" s="1949"/>
      <c r="F975" s="1949"/>
      <c r="G975" s="1949"/>
      <c r="H975" s="1949"/>
      <c r="I975" s="1949"/>
      <c r="J975" s="1949"/>
      <c r="K975" s="1311"/>
      <c r="L975" s="1311"/>
      <c r="M975" s="1311"/>
      <c r="N975" s="1311"/>
      <c r="O975" s="1311"/>
      <c r="P975" s="1311"/>
      <c r="Q975" s="1311"/>
      <c r="R975" s="2025" t="s">
        <v>1820</v>
      </c>
      <c r="S975" s="2025"/>
      <c r="T975" s="1311"/>
      <c r="U975" s="1311"/>
      <c r="V975" s="1311"/>
      <c r="W975" s="1311"/>
      <c r="X975" s="1311"/>
      <c r="Y975" s="1311"/>
      <c r="Z975" s="1311"/>
      <c r="AA975" s="1311"/>
      <c r="AB975" s="1311"/>
      <c r="AC975" s="1311"/>
      <c r="AD975" s="1311"/>
      <c r="AE975" s="1311"/>
      <c r="AF975" s="1311"/>
      <c r="AG975" s="1311"/>
      <c r="AH975" s="1311"/>
      <c r="AI975" s="1311"/>
      <c r="AJ975" s="1311"/>
      <c r="AK975" s="1311"/>
      <c r="AL975" s="1311"/>
      <c r="AM975" s="1311"/>
      <c r="AN975" s="1311"/>
      <c r="AO975" s="1311"/>
      <c r="AP975" s="1311"/>
      <c r="AQ975" s="1311"/>
      <c r="AR975" s="1311"/>
      <c r="AS975" s="1311"/>
      <c r="AT975" s="1311"/>
      <c r="AU975" s="1311"/>
      <c r="AV975" s="1311"/>
      <c r="AW975" s="1311"/>
      <c r="AX975" s="1311"/>
      <c r="AY975" s="1311"/>
      <c r="AZ975" s="1311"/>
      <c r="BA975" s="1311"/>
      <c r="BB975" s="1311"/>
      <c r="BC975" s="1311"/>
      <c r="BD975" s="1311"/>
      <c r="BE975" s="1311"/>
      <c r="BF975" s="1311"/>
      <c r="BG975" s="1311"/>
      <c r="BH975" s="1311"/>
      <c r="BI975" s="1311"/>
      <c r="BJ975" s="1311"/>
      <c r="BK975" s="1311"/>
      <c r="BL975" s="1311"/>
      <c r="BM975" s="1311"/>
      <c r="BN975" s="1311"/>
      <c r="BO975" s="1311"/>
      <c r="BP975" s="1311"/>
      <c r="BQ975" s="1311"/>
      <c r="BR975" s="1311"/>
      <c r="BS975" s="1311"/>
      <c r="BT975" s="1311"/>
      <c r="BU975" s="1311"/>
      <c r="BV975" s="1311"/>
      <c r="BW975" s="1311"/>
      <c r="BX975" s="1311"/>
      <c r="BY975" s="1311"/>
      <c r="BZ975" s="1311"/>
      <c r="CA975" s="1311"/>
      <c r="CB975" s="1311"/>
      <c r="CC975" s="1311"/>
      <c r="CD975" s="1311"/>
      <c r="CE975" s="1311"/>
      <c r="CF975" s="1311"/>
      <c r="CG975" s="1311"/>
      <c r="CH975" s="1311"/>
      <c r="CI975" s="1311"/>
      <c r="CJ975" s="1311"/>
      <c r="CK975" s="1311"/>
      <c r="CL975" s="1311"/>
      <c r="CM975" s="1311"/>
      <c r="CN975" s="1311"/>
      <c r="CO975" s="1311"/>
      <c r="CP975" s="1311"/>
      <c r="CQ975" s="1311"/>
      <c r="CR975" s="1311"/>
      <c r="CS975" s="1311"/>
      <c r="CT975" s="1311"/>
      <c r="CU975" s="1311"/>
      <c r="CV975" s="1311"/>
      <c r="CW975" s="1311"/>
      <c r="CX975" s="1311"/>
      <c r="CY975" s="1311"/>
      <c r="CZ975" s="1311"/>
      <c r="DA975" s="1311"/>
      <c r="DB975" s="1311"/>
      <c r="DC975" s="1311"/>
      <c r="DD975" s="1311"/>
      <c r="DE975" s="1311"/>
      <c r="DF975" s="1311"/>
      <c r="DG975" s="1311"/>
      <c r="DH975" s="1311"/>
      <c r="DI975" s="1311"/>
      <c r="DJ975" s="1311"/>
      <c r="DK975" s="1311"/>
      <c r="DL975" s="1311"/>
      <c r="DM975" s="1311"/>
      <c r="DN975" s="1311"/>
      <c r="DO975" s="1311"/>
      <c r="DP975" s="1311"/>
      <c r="DQ975" s="1311"/>
      <c r="DR975" s="1311"/>
      <c r="DS975" s="1311"/>
      <c r="DT975" s="1311"/>
      <c r="DU975" s="1311"/>
      <c r="DV975" s="1311"/>
      <c r="DW975" s="1311"/>
      <c r="DX975" s="1311"/>
      <c r="DY975" s="1311"/>
      <c r="DZ975" s="1311"/>
      <c r="EA975" s="1311"/>
      <c r="EB975" s="1311"/>
      <c r="EC975" s="1311"/>
      <c r="ED975" s="1311"/>
      <c r="EE975" s="1311"/>
      <c r="EF975" s="1311"/>
      <c r="EG975" s="1311"/>
      <c r="EH975" s="1311"/>
      <c r="EI975" s="1311"/>
      <c r="EJ975" s="1311"/>
      <c r="EK975" s="1311"/>
      <c r="EL975" s="1311"/>
      <c r="EM975" s="1311"/>
      <c r="EN975" s="1311"/>
      <c r="EO975" s="1311"/>
      <c r="EP975" s="1311"/>
      <c r="EQ975" s="1311"/>
      <c r="ER975" s="1311"/>
      <c r="ES975" s="1311"/>
      <c r="ET975" s="1311"/>
      <c r="EU975" s="1311"/>
      <c r="EV975" s="1311"/>
      <c r="EW975" s="1311"/>
      <c r="EX975" s="1311"/>
      <c r="EY975" s="1311"/>
      <c r="EZ975" s="1311"/>
      <c r="FA975" s="1311"/>
      <c r="FB975" s="1311"/>
      <c r="FC975" s="1311"/>
      <c r="FD975" s="1311"/>
      <c r="FE975" s="1311"/>
      <c r="FF975" s="1311"/>
      <c r="FG975" s="1311"/>
      <c r="FH975" s="1311"/>
      <c r="FI975" s="1311"/>
      <c r="FJ975" s="1311"/>
      <c r="FK975" s="1311"/>
      <c r="FL975" s="1311"/>
      <c r="FM975" s="1311"/>
      <c r="FN975" s="1311"/>
      <c r="FO975" s="1311"/>
      <c r="FP975" s="1311"/>
      <c r="FQ975" s="1311"/>
      <c r="FR975" s="1311"/>
      <c r="FS975" s="1311"/>
      <c r="FT975" s="1311"/>
      <c r="FU975" s="1311"/>
      <c r="FV975" s="1311"/>
      <c r="FW975" s="1311"/>
      <c r="FX975" s="1311"/>
      <c r="FY975" s="1311"/>
      <c r="FZ975" s="1311"/>
      <c r="GA975" s="1311"/>
      <c r="GB975" s="1311"/>
      <c r="GC975" s="1311"/>
      <c r="GD975" s="1311"/>
      <c r="GE975" s="1311"/>
      <c r="GF975" s="1311"/>
      <c r="GG975" s="1311"/>
      <c r="GH975" s="1311"/>
      <c r="GI975" s="1311"/>
      <c r="GJ975" s="1311"/>
      <c r="GK975" s="1311"/>
      <c r="GL975" s="1311"/>
      <c r="GM975" s="1311"/>
      <c r="GN975" s="1311"/>
      <c r="GO975" s="1311"/>
      <c r="GP975" s="1311"/>
      <c r="GQ975" s="1311"/>
      <c r="GR975" s="1311"/>
      <c r="GS975" s="1311"/>
      <c r="GT975" s="1311"/>
      <c r="GU975" s="1311"/>
      <c r="GV975" s="1311"/>
      <c r="GW975" s="1311"/>
      <c r="GX975" s="1311"/>
      <c r="GY975" s="1311"/>
      <c r="GZ975" s="1311"/>
      <c r="HA975" s="1311"/>
      <c r="HB975" s="1311"/>
      <c r="HC975" s="1311"/>
      <c r="HD975" s="1311"/>
      <c r="HE975" s="1311"/>
      <c r="HF975" s="1311"/>
      <c r="HG975" s="1311"/>
      <c r="HH975" s="1311"/>
      <c r="HI975" s="1311"/>
      <c r="HJ975" s="1311"/>
      <c r="HK975" s="1311"/>
      <c r="HL975" s="1311"/>
      <c r="HM975" s="1311"/>
      <c r="HN975" s="1311"/>
      <c r="HO975" s="1311"/>
      <c r="HP975" s="1311"/>
      <c r="HQ975" s="1311"/>
      <c r="HR975" s="1311"/>
      <c r="HS975" s="1311"/>
      <c r="HT975" s="1311"/>
      <c r="HU975" s="1311"/>
      <c r="HV975" s="1311"/>
      <c r="HW975" s="1311"/>
      <c r="HX975" s="1311"/>
      <c r="HY975" s="1311"/>
      <c r="HZ975" s="1311"/>
      <c r="IA975" s="1311"/>
      <c r="IB975" s="1311"/>
      <c r="IC975" s="1311"/>
      <c r="ID975" s="1311"/>
      <c r="IE975" s="1311"/>
      <c r="IF975" s="1311"/>
      <c r="IG975" s="1311"/>
      <c r="IH975" s="1311"/>
      <c r="II975" s="1311"/>
      <c r="IJ975" s="1311"/>
      <c r="IK975" s="1311"/>
      <c r="IL975" s="1311"/>
      <c r="IM975" s="1311"/>
      <c r="IN975" s="1311"/>
      <c r="IO975" s="1311"/>
      <c r="IP975" s="1311"/>
      <c r="IQ975" s="1311"/>
      <c r="IR975" s="1311"/>
      <c r="IS975" s="1311"/>
      <c r="IT975" s="1311"/>
      <c r="IU975" s="1311"/>
      <c r="IV975" s="1311"/>
      <c r="IW975" s="1311"/>
      <c r="IX975" s="1311"/>
      <c r="IY975" s="1311"/>
      <c r="IZ975" s="1311"/>
      <c r="JA975" s="1311"/>
      <c r="JB975" s="1311"/>
      <c r="JC975" s="1311"/>
      <c r="JD975" s="1311"/>
      <c r="JE975" s="1311"/>
      <c r="JF975" s="1311"/>
      <c r="JG975" s="1311"/>
      <c r="JH975" s="1311"/>
      <c r="JI975" s="1311"/>
      <c r="JJ975" s="1311"/>
      <c r="JK975" s="1311"/>
      <c r="JL975" s="1311"/>
      <c r="JM975" s="1311"/>
      <c r="JN975" s="1311"/>
      <c r="JO975" s="1311"/>
      <c r="JP975" s="1311"/>
      <c r="JQ975" s="1311"/>
      <c r="JR975" s="1311"/>
      <c r="JS975" s="1311"/>
      <c r="JT975" s="1311"/>
      <c r="JU975" s="1311"/>
      <c r="JV975" s="1955"/>
      <c r="JW975" s="1311"/>
      <c r="JX975" s="1311"/>
      <c r="JY975" s="1311"/>
      <c r="JZ975" s="1311"/>
      <c r="KA975" s="1955"/>
      <c r="KB975" s="1955"/>
      <c r="KC975" s="1955"/>
      <c r="KD975" s="1955"/>
      <c r="KE975" s="1955"/>
      <c r="KF975" s="1955"/>
      <c r="KG975" s="1955"/>
      <c r="KH975" s="1955"/>
      <c r="KI975" s="1955"/>
      <c r="KJ975" s="1955"/>
      <c r="KK975" s="1955"/>
      <c r="KL975" s="1955"/>
      <c r="KM975" s="1955"/>
      <c r="KN975" s="1955"/>
      <c r="KO975" s="1955"/>
      <c r="KP975" s="1955"/>
      <c r="KQ975" s="1955"/>
      <c r="KR975" s="1955"/>
      <c r="KS975" s="1955"/>
      <c r="KT975" s="1955"/>
      <c r="KU975" s="1955"/>
      <c r="KV975" s="1955"/>
      <c r="KW975" s="1955"/>
      <c r="KX975" s="1955"/>
      <c r="KY975" s="1955"/>
      <c r="KZ975" s="1955"/>
      <c r="LA975" s="1955"/>
      <c r="LB975" s="1955"/>
      <c r="LC975" s="1955"/>
      <c r="LD975" s="1955"/>
      <c r="LE975" s="1955"/>
      <c r="LF975" s="1955"/>
      <c r="LG975" s="1311"/>
      <c r="LH975" s="1311"/>
      <c r="LI975" s="1311"/>
      <c r="LJ975" s="1311"/>
      <c r="LK975" s="1311"/>
      <c r="LL975" s="1311"/>
      <c r="LM975" s="1311"/>
      <c r="LN975" s="1311"/>
      <c r="LO975" s="1311"/>
      <c r="LP975" s="1311"/>
      <c r="LQ975" s="1311"/>
      <c r="LR975" s="1311"/>
      <c r="LS975" s="1311"/>
      <c r="LT975" s="1311"/>
      <c r="LU975" s="1311"/>
      <c r="LV975" s="1311"/>
      <c r="LW975" s="1311"/>
      <c r="LX975" s="1311"/>
      <c r="LY975" s="1311"/>
      <c r="LZ975" s="1311"/>
      <c r="MA975" s="1311"/>
      <c r="MB975" s="1311"/>
      <c r="MC975" s="1311"/>
      <c r="MD975" s="1311"/>
      <c r="ME975" s="1311"/>
      <c r="MF975" s="1311"/>
      <c r="MG975" s="1311"/>
      <c r="MH975" s="1311"/>
      <c r="MI975" s="1311"/>
      <c r="MJ975" s="1311"/>
      <c r="MK975" s="1311"/>
      <c r="ML975" s="1311"/>
      <c r="MM975" s="1311"/>
      <c r="MN975" s="1311"/>
      <c r="MO975" s="1311"/>
      <c r="MP975" s="1311"/>
      <c r="MQ975" s="1311"/>
      <c r="MR975" s="1311"/>
      <c r="MS975" s="1311"/>
    </row>
    <row r="976" spans="1:357">
      <c r="A976" s="1311"/>
      <c r="B976" s="1311" t="s">
        <v>1275</v>
      </c>
      <c r="C976" s="1311"/>
      <c r="D976" s="1311"/>
      <c r="E976" s="1311"/>
      <c r="H976" s="1311"/>
      <c r="I976" s="1311" t="s">
        <v>1362</v>
      </c>
      <c r="J976" s="1311"/>
      <c r="K976" s="1311"/>
      <c r="L976" s="1311"/>
      <c r="M976" s="1311"/>
      <c r="N976" s="1311" t="s">
        <v>1361</v>
      </c>
      <c r="O976" s="1311"/>
      <c r="P976" s="1311"/>
      <c r="Q976" s="1311"/>
      <c r="R976" s="1979">
        <f>'Part VI-Revenues &amp; Expenses'!R214</f>
        <v>0</v>
      </c>
      <c r="S976" s="1979"/>
      <c r="T976" s="1979"/>
      <c r="U976" s="1979"/>
      <c r="V976" s="1979"/>
      <c r="X976" s="1311"/>
      <c r="Y976" s="1311"/>
      <c r="Z976" s="1311"/>
      <c r="AA976" s="1311"/>
      <c r="AC976" s="1311"/>
      <c r="AD976" s="1311"/>
      <c r="AE976" s="1311"/>
      <c r="AF976" s="1311"/>
      <c r="AH976" s="1311"/>
      <c r="AI976" s="1311"/>
      <c r="AJ976" s="1311"/>
      <c r="AK976" s="1311"/>
      <c r="AM976" s="1311"/>
      <c r="AN976" s="1311"/>
      <c r="AO976" s="1311"/>
      <c r="AP976" s="1311"/>
      <c r="AQ976" s="1311"/>
      <c r="AR976" s="1311"/>
      <c r="AS976" s="1311"/>
      <c r="AT976" s="1311"/>
      <c r="AU976" s="1311"/>
      <c r="AV976" s="1311"/>
      <c r="AW976" s="1311"/>
      <c r="AX976" s="1311"/>
      <c r="AY976" s="1311"/>
      <c r="AZ976" s="1311"/>
      <c r="BA976" s="1311"/>
      <c r="BB976" s="1311"/>
      <c r="BC976" s="1311"/>
      <c r="BD976" s="1311"/>
      <c r="BE976" s="1311"/>
      <c r="BF976" s="1311"/>
      <c r="BG976" s="1311"/>
      <c r="BH976" s="1311"/>
      <c r="BI976" s="1311"/>
      <c r="BJ976" s="1311"/>
      <c r="BK976" s="1311"/>
      <c r="BL976" s="1311"/>
      <c r="BM976" s="1311"/>
      <c r="BN976" s="1311"/>
      <c r="BO976" s="1311"/>
      <c r="BP976" s="1311"/>
      <c r="BQ976" s="1311"/>
      <c r="BR976" s="1311"/>
      <c r="BS976" s="1311"/>
      <c r="BT976" s="1311"/>
      <c r="BU976" s="1311"/>
      <c r="BV976" s="1311"/>
      <c r="BW976" s="1311"/>
      <c r="BX976" s="1311"/>
      <c r="BY976" s="1311"/>
      <c r="BZ976" s="1311"/>
      <c r="CA976" s="1311"/>
      <c r="CB976" s="1311"/>
      <c r="CC976" s="1311"/>
      <c r="CD976" s="1311"/>
      <c r="CE976" s="1311"/>
      <c r="CF976" s="1311"/>
      <c r="CG976" s="1311"/>
      <c r="CH976" s="1311"/>
      <c r="CI976" s="1311"/>
      <c r="CJ976" s="1311"/>
      <c r="CK976" s="1311"/>
      <c r="CL976" s="1311"/>
      <c r="CM976" s="1311"/>
      <c r="CN976" s="1311"/>
      <c r="CO976" s="1311"/>
      <c r="CP976" s="1311"/>
      <c r="CQ976" s="1311"/>
      <c r="CR976" s="1311"/>
      <c r="CS976" s="1311"/>
      <c r="CT976" s="1311"/>
      <c r="CU976" s="1311"/>
      <c r="CV976" s="1311"/>
      <c r="CW976" s="1311"/>
      <c r="CX976" s="1311"/>
      <c r="CY976" s="1311"/>
      <c r="CZ976" s="1311"/>
      <c r="DA976" s="1311"/>
      <c r="DB976" s="1311"/>
      <c r="DC976" s="1311"/>
      <c r="DD976" s="1311"/>
      <c r="DE976" s="1311"/>
      <c r="DF976" s="1311"/>
      <c r="DG976" s="1311"/>
      <c r="DH976" s="1311"/>
      <c r="DI976" s="1311"/>
      <c r="DJ976" s="1311"/>
      <c r="DK976" s="1311"/>
      <c r="DL976" s="1311"/>
      <c r="DM976" s="1311"/>
      <c r="DN976" s="1311"/>
      <c r="DO976" s="1311"/>
      <c r="DP976" s="1311"/>
      <c r="DQ976" s="1311"/>
      <c r="DR976" s="1311"/>
      <c r="DS976" s="1311"/>
      <c r="DT976" s="1311"/>
      <c r="DU976" s="1311"/>
      <c r="DV976" s="1311"/>
      <c r="DW976" s="1311"/>
      <c r="DX976" s="1311"/>
      <c r="DY976" s="1311"/>
      <c r="DZ976" s="1311"/>
      <c r="EA976" s="1311"/>
      <c r="EB976" s="1311"/>
      <c r="EC976" s="1311"/>
      <c r="ED976" s="1311"/>
      <c r="EE976" s="1311"/>
      <c r="EF976" s="1311"/>
      <c r="EG976" s="1311"/>
      <c r="EH976" s="1311"/>
      <c r="EI976" s="1311"/>
      <c r="EJ976" s="1311"/>
      <c r="EK976" s="1311"/>
      <c r="EL976" s="1311"/>
      <c r="EM976" s="1311"/>
      <c r="EN976" s="1311"/>
      <c r="EO976" s="1311"/>
      <c r="EP976" s="1311"/>
      <c r="EQ976" s="1311"/>
      <c r="ER976" s="1311"/>
      <c r="ES976" s="1311"/>
      <c r="ET976" s="1311"/>
      <c r="EU976" s="1311"/>
      <c r="EV976" s="1311"/>
      <c r="EW976" s="1311"/>
      <c r="EX976" s="1311"/>
      <c r="EY976" s="1311"/>
      <c r="EZ976" s="1311"/>
      <c r="FA976" s="1311"/>
      <c r="FB976" s="1311"/>
      <c r="FC976" s="1311"/>
      <c r="FD976" s="1311"/>
      <c r="FE976" s="1311"/>
      <c r="FF976" s="1311"/>
      <c r="FG976" s="1311"/>
      <c r="FH976" s="1311"/>
      <c r="FI976" s="1311"/>
      <c r="FJ976" s="1311"/>
      <c r="FK976" s="1311"/>
      <c r="FL976" s="1311"/>
      <c r="FM976" s="1311"/>
      <c r="FN976" s="1311"/>
      <c r="FO976" s="1311"/>
      <c r="FP976" s="1311"/>
      <c r="FQ976" s="1311"/>
      <c r="FR976" s="1311"/>
      <c r="FS976" s="1311"/>
      <c r="FT976" s="1311"/>
      <c r="FU976" s="1311"/>
      <c r="FV976" s="1311"/>
      <c r="FW976" s="1311"/>
      <c r="FX976" s="1311"/>
      <c r="FY976" s="1311"/>
      <c r="FZ976" s="1311"/>
      <c r="GA976" s="1311"/>
      <c r="GB976" s="1311"/>
      <c r="GC976" s="1311"/>
      <c r="GD976" s="1311"/>
      <c r="GE976" s="1311"/>
      <c r="GF976" s="1311"/>
      <c r="GG976" s="1311"/>
      <c r="GH976" s="1311"/>
      <c r="GI976" s="1311"/>
      <c r="GJ976" s="1311"/>
      <c r="GK976" s="1311"/>
      <c r="GL976" s="1311"/>
      <c r="GM976" s="1311"/>
      <c r="GN976" s="1311"/>
      <c r="GO976" s="1311"/>
      <c r="GP976" s="1311"/>
      <c r="GQ976" s="1311"/>
      <c r="GR976" s="1311"/>
      <c r="GS976" s="1311"/>
      <c r="GT976" s="1311"/>
      <c r="GU976" s="1311"/>
      <c r="GV976" s="1311"/>
      <c r="GW976" s="1311"/>
      <c r="GX976" s="1311"/>
      <c r="GY976" s="1311"/>
      <c r="GZ976" s="1311"/>
      <c r="HA976" s="1311"/>
      <c r="HB976" s="1311"/>
      <c r="HC976" s="1311"/>
      <c r="HD976" s="1311"/>
      <c r="HE976" s="1311"/>
      <c r="HF976" s="1311"/>
      <c r="HG976" s="1311"/>
      <c r="HH976" s="1311"/>
      <c r="HI976" s="1311"/>
      <c r="HJ976" s="1311"/>
      <c r="HK976" s="1311"/>
      <c r="HL976" s="1311"/>
      <c r="HM976" s="1311"/>
      <c r="HN976" s="1311"/>
      <c r="HO976" s="1311"/>
      <c r="HP976" s="1311"/>
      <c r="HQ976" s="1311"/>
      <c r="HR976" s="1311"/>
      <c r="HS976" s="1311"/>
      <c r="HT976" s="1311"/>
      <c r="HU976" s="1311"/>
      <c r="HV976" s="1311"/>
      <c r="HW976" s="1311"/>
      <c r="HX976" s="1311"/>
      <c r="HY976" s="1311"/>
      <c r="HZ976" s="1311"/>
      <c r="IA976" s="1311"/>
      <c r="IB976" s="1311"/>
      <c r="IC976" s="1311"/>
      <c r="ID976" s="1311"/>
      <c r="IE976" s="1311"/>
      <c r="IF976" s="1311"/>
      <c r="IG976" s="1311"/>
      <c r="IH976" s="1311"/>
      <c r="II976" s="1311"/>
      <c r="IJ976" s="1311"/>
      <c r="IK976" s="1311"/>
      <c r="IL976" s="1311"/>
      <c r="IM976" s="1311"/>
      <c r="IN976" s="1311"/>
      <c r="IO976" s="1311"/>
      <c r="IP976" s="1311"/>
      <c r="IQ976" s="1311"/>
      <c r="IR976" s="1311"/>
      <c r="IS976" s="1311"/>
      <c r="IT976" s="1311"/>
      <c r="IU976" s="1311"/>
      <c r="IV976" s="1311"/>
      <c r="IW976" s="1311"/>
      <c r="IX976" s="1311"/>
      <c r="IY976" s="1311"/>
      <c r="IZ976" s="1311"/>
      <c r="JA976" s="1311"/>
      <c r="JB976" s="1311"/>
      <c r="JC976" s="1311"/>
      <c r="JD976" s="1311"/>
      <c r="JE976" s="1311"/>
      <c r="JF976" s="1311"/>
      <c r="JG976" s="1311"/>
      <c r="JH976" s="1311"/>
      <c r="JI976" s="1311"/>
      <c r="JJ976" s="1311"/>
      <c r="JK976" s="1311"/>
      <c r="JL976" s="1311"/>
      <c r="JM976" s="1311"/>
      <c r="JN976" s="1311"/>
      <c r="JO976" s="1311"/>
      <c r="JP976" s="1311"/>
      <c r="JQ976" s="1311"/>
      <c r="JR976" s="1311"/>
      <c r="JS976" s="1311"/>
      <c r="JT976" s="1311"/>
      <c r="JU976" s="1311"/>
      <c r="JV976" s="1955"/>
      <c r="JW976" s="1311"/>
      <c r="JX976" s="1311"/>
      <c r="JY976" s="1311"/>
      <c r="JZ976" s="1311"/>
      <c r="KA976" s="1955"/>
      <c r="KB976" s="1955"/>
      <c r="KC976" s="1955"/>
      <c r="KD976" s="1955"/>
      <c r="KE976" s="1955"/>
      <c r="KF976" s="1955"/>
      <c r="KG976" s="1955"/>
      <c r="KH976" s="1955"/>
      <c r="KI976" s="1955"/>
      <c r="KJ976" s="1955"/>
      <c r="KK976" s="1955"/>
      <c r="KL976" s="1955"/>
      <c r="KM976" s="1955"/>
      <c r="KN976" s="1955"/>
      <c r="KO976" s="1955"/>
      <c r="KP976" s="1955"/>
      <c r="KQ976" s="1955"/>
      <c r="KR976" s="1955"/>
      <c r="KS976" s="1955"/>
      <c r="KT976" s="1955"/>
      <c r="KU976" s="1955"/>
      <c r="KV976" s="1955"/>
      <c r="KW976" s="1955"/>
      <c r="KX976" s="1955"/>
      <c r="KY976" s="1955"/>
      <c r="KZ976" s="1955"/>
      <c r="LA976" s="1955"/>
      <c r="LB976" s="1955"/>
      <c r="LC976" s="1955"/>
      <c r="LD976" s="1955"/>
      <c r="LE976" s="1955"/>
      <c r="LF976" s="1955"/>
      <c r="LG976" s="1311"/>
      <c r="LH976" s="1311"/>
      <c r="LI976" s="1311"/>
      <c r="LJ976" s="1311"/>
      <c r="LK976" s="1311"/>
      <c r="LL976" s="1311"/>
      <c r="LM976" s="1311"/>
      <c r="LN976" s="1311"/>
      <c r="LO976" s="1311"/>
      <c r="LP976" s="1311"/>
      <c r="LQ976" s="1311"/>
      <c r="LR976" s="1311"/>
      <c r="LS976" s="1311"/>
      <c r="LT976" s="1311"/>
      <c r="LU976" s="1311"/>
      <c r="LV976" s="1311"/>
      <c r="LW976" s="1311"/>
      <c r="LX976" s="1311"/>
      <c r="LY976" s="1311"/>
      <c r="LZ976" s="1311"/>
      <c r="MA976" s="1311"/>
      <c r="MB976" s="1311"/>
      <c r="MC976" s="1311"/>
      <c r="MD976" s="1311"/>
      <c r="ME976" s="1311"/>
      <c r="MF976" s="1311"/>
      <c r="MG976" s="1311"/>
      <c r="MH976" s="1311"/>
      <c r="MI976" s="1311"/>
      <c r="MJ976" s="1311"/>
      <c r="MK976" s="1311"/>
      <c r="ML976" s="1311"/>
      <c r="MM976" s="1311"/>
      <c r="MN976" s="1311"/>
      <c r="MO976" s="1311"/>
      <c r="MP976" s="1311"/>
      <c r="MQ976" s="1311"/>
      <c r="MR976" s="1311"/>
      <c r="MS976" s="1311"/>
    </row>
    <row r="977" spans="1:357">
      <c r="A977" s="1311"/>
      <c r="B977" s="1311" t="s">
        <v>2169</v>
      </c>
      <c r="C977" s="1311"/>
      <c r="D977" s="1311"/>
      <c r="E977" s="1311"/>
      <c r="F977" s="2012">
        <f>'Part VI-Revenues &amp; Expenses'!F215</f>
        <v>72500</v>
      </c>
      <c r="G977" s="2012"/>
      <c r="H977" s="1311"/>
      <c r="I977" s="1311" t="s">
        <v>1363</v>
      </c>
      <c r="J977" s="1311"/>
      <c r="K977" s="2012">
        <f>'Part VI-Revenues &amp; Expenses'!K215</f>
        <v>0</v>
      </c>
      <c r="L977" s="2012"/>
      <c r="M977" s="1311"/>
      <c r="N977" s="1311" t="s">
        <v>916</v>
      </c>
      <c r="O977" s="1311"/>
      <c r="P977" s="2013">
        <f>'Part VI-Revenues &amp; Expenses'!P215</f>
        <v>75000</v>
      </c>
      <c r="Q977" s="2013"/>
      <c r="R977" s="1979">
        <f>'Part VI-Revenues &amp; Expenses'!R215</f>
        <v>0</v>
      </c>
      <c r="S977" s="1979"/>
      <c r="T977" s="1979"/>
      <c r="U977" s="1979"/>
      <c r="V977" s="1979"/>
      <c r="X977" s="1311"/>
      <c r="Y977" s="1311"/>
      <c r="Z977" s="1311"/>
      <c r="AA977" s="1311"/>
      <c r="AC977" s="1311"/>
      <c r="AD977" s="1311"/>
      <c r="AE977" s="1311"/>
      <c r="AF977" s="1311"/>
      <c r="AH977" s="1311"/>
      <c r="AI977" s="1311"/>
      <c r="AJ977" s="1311"/>
      <c r="AK977" s="1311"/>
      <c r="AM977" s="1311"/>
      <c r="AN977" s="1311"/>
      <c r="AO977" s="1311"/>
      <c r="AP977" s="1311"/>
      <c r="AQ977" s="1311"/>
      <c r="AR977" s="1311"/>
      <c r="AS977" s="1311"/>
      <c r="AT977" s="1311"/>
      <c r="AU977" s="1311"/>
      <c r="AV977" s="1311"/>
      <c r="AW977" s="1311"/>
      <c r="AX977" s="1311"/>
      <c r="AY977" s="1311"/>
      <c r="AZ977" s="1311"/>
      <c r="BA977" s="1311"/>
      <c r="BB977" s="1311"/>
      <c r="BC977" s="1311"/>
      <c r="BD977" s="1311"/>
      <c r="BE977" s="1311"/>
      <c r="BF977" s="1311"/>
      <c r="BG977" s="1311"/>
      <c r="BH977" s="1311"/>
      <c r="BI977" s="1311"/>
      <c r="BJ977" s="1311"/>
      <c r="BK977" s="1311"/>
      <c r="BL977" s="1311"/>
      <c r="BM977" s="1311"/>
      <c r="BN977" s="1311"/>
      <c r="BO977" s="1311"/>
      <c r="BP977" s="1311"/>
      <c r="BQ977" s="1311"/>
      <c r="BR977" s="1311"/>
      <c r="BS977" s="1311"/>
      <c r="BT977" s="1311"/>
      <c r="BU977" s="1311"/>
      <c r="BV977" s="1311"/>
      <c r="BW977" s="1311"/>
      <c r="BX977" s="1311"/>
      <c r="BY977" s="1311"/>
      <c r="BZ977" s="1311"/>
      <c r="CA977" s="1311"/>
      <c r="CB977" s="1311"/>
      <c r="CC977" s="1311"/>
      <c r="CD977" s="1311"/>
      <c r="CE977" s="1311"/>
      <c r="CF977" s="1311"/>
      <c r="CG977" s="1311"/>
      <c r="CH977" s="1311"/>
      <c r="CI977" s="1311"/>
      <c r="CJ977" s="1311"/>
      <c r="CK977" s="1311"/>
      <c r="CL977" s="1311"/>
      <c r="CM977" s="1311"/>
      <c r="CN977" s="1311"/>
      <c r="CO977" s="1311"/>
      <c r="CP977" s="1311"/>
      <c r="CQ977" s="1311"/>
      <c r="CR977" s="1311"/>
      <c r="CS977" s="1311"/>
      <c r="CT977" s="1311"/>
      <c r="CU977" s="1311"/>
      <c r="CV977" s="1311"/>
      <c r="CW977" s="1311"/>
      <c r="CX977" s="1311"/>
      <c r="CY977" s="1311"/>
      <c r="CZ977" s="1311"/>
      <c r="DA977" s="1311"/>
      <c r="DB977" s="1311"/>
      <c r="DC977" s="1311"/>
      <c r="DD977" s="1311"/>
      <c r="DE977" s="1311"/>
      <c r="DF977" s="1311"/>
      <c r="DG977" s="1311"/>
      <c r="DH977" s="1311"/>
      <c r="DI977" s="1311"/>
      <c r="DJ977" s="1311"/>
      <c r="DK977" s="1311"/>
      <c r="DL977" s="1311"/>
      <c r="DM977" s="1311"/>
      <c r="DN977" s="1311"/>
      <c r="DO977" s="1311"/>
      <c r="DP977" s="1311"/>
      <c r="DQ977" s="1311"/>
      <c r="DR977" s="1311"/>
      <c r="DS977" s="1311"/>
      <c r="DT977" s="1311"/>
      <c r="DU977" s="1311"/>
      <c r="DV977" s="1311"/>
      <c r="DW977" s="1311"/>
      <c r="DX977" s="1311"/>
      <c r="DY977" s="1311"/>
      <c r="DZ977" s="1311"/>
      <c r="EA977" s="1311"/>
      <c r="EB977" s="1311"/>
      <c r="EC977" s="1311"/>
      <c r="ED977" s="1311"/>
      <c r="EE977" s="1311"/>
      <c r="EF977" s="1311"/>
      <c r="EG977" s="1311"/>
      <c r="EH977" s="1311"/>
      <c r="EI977" s="1311"/>
      <c r="EJ977" s="1311"/>
      <c r="EK977" s="1311"/>
      <c r="EL977" s="1311"/>
      <c r="EM977" s="1311"/>
      <c r="EN977" s="1311"/>
      <c r="EO977" s="1311"/>
      <c r="EP977" s="1311"/>
      <c r="EQ977" s="1311"/>
      <c r="ER977" s="1311"/>
      <c r="ES977" s="1311"/>
      <c r="ET977" s="1311"/>
      <c r="EU977" s="1311"/>
      <c r="EV977" s="1311"/>
      <c r="EW977" s="1311"/>
      <c r="EX977" s="1311"/>
      <c r="EY977" s="1311"/>
      <c r="EZ977" s="1311"/>
      <c r="FA977" s="1311"/>
      <c r="FB977" s="1311"/>
      <c r="FC977" s="1311"/>
      <c r="FD977" s="1311"/>
      <c r="FE977" s="1311"/>
      <c r="FF977" s="1311"/>
      <c r="FG977" s="1311"/>
      <c r="FH977" s="1311"/>
      <c r="FI977" s="1311"/>
      <c r="FJ977" s="1311"/>
      <c r="FK977" s="1311"/>
      <c r="FL977" s="1311"/>
      <c r="FM977" s="1311"/>
      <c r="FN977" s="1311"/>
      <c r="FO977" s="1311"/>
      <c r="FP977" s="1311"/>
      <c r="FQ977" s="1311"/>
      <c r="FR977" s="1311"/>
      <c r="FS977" s="1311"/>
      <c r="FT977" s="1311"/>
      <c r="FU977" s="1311"/>
      <c r="FV977" s="1311"/>
      <c r="FW977" s="1311"/>
      <c r="FX977" s="1311"/>
      <c r="FY977" s="1311"/>
      <c r="FZ977" s="1311"/>
      <c r="GA977" s="1311"/>
      <c r="GB977" s="1311"/>
      <c r="GC977" s="1311"/>
      <c r="GD977" s="1311"/>
      <c r="GE977" s="1311"/>
      <c r="GF977" s="1311"/>
      <c r="GG977" s="1311"/>
      <c r="GH977" s="1311"/>
      <c r="GI977" s="1311"/>
      <c r="GJ977" s="1311"/>
      <c r="GK977" s="1311"/>
      <c r="GL977" s="1311"/>
      <c r="GM977" s="1311"/>
      <c r="GN977" s="1311"/>
      <c r="GO977" s="1311"/>
      <c r="GP977" s="1311"/>
      <c r="GQ977" s="1311"/>
      <c r="GR977" s="1311"/>
      <c r="GS977" s="1311"/>
      <c r="GT977" s="1311"/>
      <c r="GU977" s="1311"/>
      <c r="GV977" s="1311"/>
      <c r="GW977" s="1311"/>
      <c r="GX977" s="1311"/>
      <c r="GY977" s="1311"/>
      <c r="GZ977" s="1311"/>
      <c r="HA977" s="1311"/>
      <c r="HB977" s="1311"/>
      <c r="HC977" s="1311"/>
      <c r="HD977" s="1311"/>
      <c r="HE977" s="1311"/>
      <c r="HF977" s="1311"/>
      <c r="HG977" s="1311"/>
      <c r="HH977" s="1311"/>
      <c r="HI977" s="1311"/>
      <c r="HJ977" s="1311"/>
      <c r="HK977" s="1311"/>
      <c r="HL977" s="1311"/>
      <c r="HM977" s="1311"/>
      <c r="HN977" s="1311"/>
      <c r="HO977" s="1311"/>
      <c r="HP977" s="1311"/>
      <c r="HQ977" s="1311"/>
      <c r="HR977" s="1311"/>
      <c r="HS977" s="1311"/>
      <c r="HT977" s="1311"/>
      <c r="HU977" s="1311"/>
      <c r="HV977" s="1311"/>
      <c r="HW977" s="1311"/>
      <c r="HX977" s="1311"/>
      <c r="HY977" s="1311"/>
      <c r="HZ977" s="1311"/>
      <c r="IA977" s="1311"/>
      <c r="IB977" s="1311"/>
      <c r="IC977" s="1311"/>
      <c r="ID977" s="1311"/>
      <c r="IE977" s="1311"/>
      <c r="IF977" s="1311"/>
      <c r="IG977" s="1311"/>
      <c r="IH977" s="1311"/>
      <c r="II977" s="1311"/>
      <c r="IJ977" s="1311"/>
      <c r="IK977" s="1311"/>
      <c r="IL977" s="1311"/>
      <c r="IM977" s="1311"/>
      <c r="IN977" s="1311"/>
      <c r="IO977" s="1311"/>
      <c r="IP977" s="1311"/>
      <c r="IQ977" s="1311"/>
      <c r="IR977" s="1311"/>
      <c r="IS977" s="1311"/>
      <c r="IT977" s="1311"/>
      <c r="IU977" s="1311"/>
      <c r="IV977" s="1311"/>
      <c r="IW977" s="1311"/>
      <c r="IX977" s="1311"/>
      <c r="IY977" s="1311"/>
      <c r="IZ977" s="1311"/>
      <c r="JA977" s="1311"/>
      <c r="JB977" s="1311"/>
      <c r="JC977" s="1311"/>
      <c r="JD977" s="1311"/>
      <c r="JE977" s="1311"/>
      <c r="JF977" s="1311"/>
      <c r="JG977" s="1311"/>
      <c r="JH977" s="1311"/>
      <c r="JI977" s="1311"/>
      <c r="JJ977" s="1311"/>
      <c r="JK977" s="1311"/>
      <c r="JL977" s="1311"/>
      <c r="JM977" s="1311"/>
      <c r="JN977" s="1311"/>
      <c r="JO977" s="1311"/>
      <c r="JP977" s="1311"/>
      <c r="JQ977" s="1311"/>
      <c r="JR977" s="1311"/>
      <c r="JS977" s="1311"/>
      <c r="JT977" s="1311"/>
      <c r="JU977" s="1311"/>
      <c r="JV977" s="1955"/>
      <c r="JW977" s="1311"/>
      <c r="JX977" s="1311"/>
      <c r="JY977" s="1311"/>
      <c r="JZ977" s="1311"/>
      <c r="KA977" s="1955"/>
      <c r="KB977" s="1955"/>
      <c r="KC977" s="1955"/>
      <c r="KD977" s="1955"/>
      <c r="KE977" s="1955"/>
      <c r="KF977" s="1955"/>
      <c r="KG977" s="1955"/>
      <c r="KH977" s="1955"/>
      <c r="KI977" s="1955"/>
      <c r="KJ977" s="1955"/>
      <c r="KK977" s="1955"/>
      <c r="KL977" s="1955"/>
      <c r="KM977" s="1955"/>
      <c r="KN977" s="1955"/>
      <c r="KO977" s="1955"/>
      <c r="KP977" s="1955"/>
      <c r="KQ977" s="1955"/>
      <c r="KR977" s="1955"/>
      <c r="KS977" s="1955"/>
      <c r="KT977" s="1955"/>
      <c r="KU977" s="1955"/>
      <c r="KV977" s="1955"/>
      <c r="KW977" s="1955"/>
      <c r="KX977" s="1955"/>
      <c r="KY977" s="1955"/>
      <c r="KZ977" s="1955"/>
      <c r="LA977" s="1955"/>
      <c r="LB977" s="1955"/>
      <c r="LC977" s="1955"/>
      <c r="LD977" s="1955"/>
      <c r="LE977" s="1955"/>
      <c r="LF977" s="1955"/>
      <c r="LG977" s="1311"/>
      <c r="LH977" s="1311"/>
      <c r="LI977" s="1311"/>
      <c r="LJ977" s="1311"/>
      <c r="LK977" s="1311"/>
      <c r="LL977" s="1311"/>
      <c r="LM977" s="1311"/>
      <c r="LN977" s="1311"/>
      <c r="LO977" s="1311"/>
      <c r="LP977" s="1311"/>
      <c r="LQ977" s="1311"/>
      <c r="LR977" s="1311"/>
      <c r="LS977" s="1311"/>
      <c r="LT977" s="1311"/>
      <c r="LU977" s="1311"/>
      <c r="LV977" s="1311"/>
      <c r="LW977" s="1311"/>
      <c r="LX977" s="1311"/>
      <c r="LY977" s="1311"/>
      <c r="LZ977" s="1311"/>
      <c r="MA977" s="1311"/>
      <c r="MB977" s="1311"/>
      <c r="MC977" s="1311"/>
      <c r="MD977" s="1311"/>
      <c r="ME977" s="1311"/>
      <c r="MF977" s="1311"/>
      <c r="MG977" s="1311"/>
      <c r="MH977" s="1311"/>
      <c r="MI977" s="1311"/>
      <c r="MJ977" s="1311"/>
      <c r="MK977" s="1311"/>
      <c r="ML977" s="1311"/>
      <c r="MM977" s="1311"/>
      <c r="MN977" s="1311"/>
      <c r="MO977" s="1311"/>
      <c r="MP977" s="1311"/>
      <c r="MQ977" s="1311"/>
      <c r="MR977" s="1311"/>
      <c r="MS977" s="1311"/>
    </row>
    <row r="978" spans="1:357">
      <c r="A978" s="1311"/>
      <c r="B978" s="1311" t="s">
        <v>1352</v>
      </c>
      <c r="C978" s="1311"/>
      <c r="D978" s="1311"/>
      <c r="E978" s="1311"/>
      <c r="F978" s="2012">
        <f>'Part VI-Revenues &amp; Expenses'!F216</f>
        <v>62500</v>
      </c>
      <c r="G978" s="2012"/>
      <c r="H978" s="1311"/>
      <c r="I978" s="1311" t="s">
        <v>1364</v>
      </c>
      <c r="J978" s="1311"/>
      <c r="K978" s="2012">
        <f>'Part VI-Revenues &amp; Expenses'!K216</f>
        <v>3600</v>
      </c>
      <c r="L978" s="2012"/>
      <c r="M978" s="1311"/>
      <c r="N978" s="1311" t="s">
        <v>145</v>
      </c>
      <c r="O978" s="1311"/>
      <c r="P978" s="2013">
        <f>'Part VI-Revenues &amp; Expenses'!P216</f>
        <v>40000</v>
      </c>
      <c r="Q978" s="2013"/>
      <c r="R978" s="1979">
        <f>'Part VI-Revenues &amp; Expenses'!R216</f>
        <v>0</v>
      </c>
      <c r="S978" s="1979"/>
      <c r="T978" s="1979"/>
      <c r="U978" s="1979"/>
      <c r="V978" s="1979"/>
      <c r="X978" s="1311"/>
      <c r="Y978" s="1311"/>
      <c r="Z978" s="1311"/>
      <c r="AA978" s="1311"/>
      <c r="AC978" s="1311"/>
      <c r="AD978" s="1311"/>
      <c r="AE978" s="1311"/>
      <c r="AF978" s="1311"/>
      <c r="AH978" s="1311"/>
      <c r="AI978" s="1311"/>
      <c r="AJ978" s="1311"/>
      <c r="AK978" s="1311"/>
      <c r="AM978" s="1311"/>
      <c r="AN978" s="1311"/>
      <c r="AO978" s="1311"/>
      <c r="AP978" s="1311"/>
      <c r="AQ978" s="1311"/>
      <c r="AR978" s="1311"/>
      <c r="AS978" s="1311"/>
      <c r="AT978" s="1311"/>
      <c r="AU978" s="1311"/>
      <c r="AV978" s="1311"/>
      <c r="AW978" s="1311"/>
      <c r="AX978" s="1311"/>
      <c r="AY978" s="1311"/>
      <c r="AZ978" s="1311"/>
      <c r="BA978" s="1311"/>
      <c r="BB978" s="1311"/>
      <c r="BC978" s="1311"/>
      <c r="BD978" s="1311"/>
      <c r="BE978" s="1311"/>
      <c r="BF978" s="1311"/>
      <c r="BG978" s="1311"/>
      <c r="BH978" s="1311"/>
      <c r="BI978" s="1311"/>
      <c r="BJ978" s="1311"/>
      <c r="BK978" s="1311"/>
      <c r="BL978" s="1311"/>
      <c r="BM978" s="1311"/>
      <c r="BN978" s="1311"/>
      <c r="BO978" s="1311"/>
      <c r="BP978" s="1311"/>
      <c r="BQ978" s="1311"/>
      <c r="BR978" s="1311"/>
      <c r="BS978" s="1311"/>
      <c r="BT978" s="1311"/>
      <c r="BU978" s="1311"/>
      <c r="BV978" s="1311"/>
      <c r="BW978" s="1311"/>
      <c r="BX978" s="1311"/>
      <c r="BY978" s="1311"/>
      <c r="BZ978" s="1311"/>
      <c r="CA978" s="1311"/>
      <c r="CB978" s="1311"/>
      <c r="CC978" s="1311"/>
      <c r="CD978" s="1311"/>
      <c r="CE978" s="1311"/>
      <c r="CF978" s="1311"/>
      <c r="CG978" s="1311"/>
      <c r="CH978" s="1311"/>
      <c r="CI978" s="1311"/>
      <c r="CJ978" s="1311"/>
      <c r="CK978" s="1311"/>
      <c r="CL978" s="1311"/>
      <c r="CM978" s="1311"/>
      <c r="CN978" s="1311"/>
      <c r="CO978" s="1311"/>
      <c r="CP978" s="1311"/>
      <c r="CQ978" s="1311"/>
      <c r="CR978" s="1311"/>
      <c r="CS978" s="1311"/>
      <c r="CT978" s="1311"/>
      <c r="CU978" s="1311"/>
      <c r="CV978" s="1311"/>
      <c r="CW978" s="1311"/>
      <c r="CX978" s="1311"/>
      <c r="CY978" s="1311"/>
      <c r="CZ978" s="1311"/>
      <c r="DA978" s="1311"/>
      <c r="DB978" s="1311"/>
      <c r="DC978" s="1311"/>
      <c r="DD978" s="1311"/>
      <c r="DE978" s="1311"/>
      <c r="DF978" s="1311"/>
      <c r="DG978" s="1311"/>
      <c r="DH978" s="1311"/>
      <c r="DI978" s="1311"/>
      <c r="DJ978" s="1311"/>
      <c r="DK978" s="1311"/>
      <c r="DL978" s="1311"/>
      <c r="DM978" s="1311"/>
      <c r="DN978" s="1311"/>
      <c r="DO978" s="1311"/>
      <c r="DP978" s="1311"/>
      <c r="DQ978" s="1311"/>
      <c r="DR978" s="1311"/>
      <c r="DS978" s="1311"/>
      <c r="DT978" s="1311"/>
      <c r="DU978" s="1311"/>
      <c r="DV978" s="1311"/>
      <c r="DW978" s="1311"/>
      <c r="DX978" s="1311"/>
      <c r="DY978" s="1311"/>
      <c r="DZ978" s="1311"/>
      <c r="EA978" s="1311"/>
      <c r="EB978" s="1311"/>
      <c r="EC978" s="1311"/>
      <c r="ED978" s="1311"/>
      <c r="EE978" s="1311"/>
      <c r="EF978" s="1311"/>
      <c r="EG978" s="1311"/>
      <c r="EH978" s="1311"/>
      <c r="EI978" s="1311"/>
      <c r="EJ978" s="1311"/>
      <c r="EK978" s="1311"/>
      <c r="EL978" s="1311"/>
      <c r="EM978" s="1311"/>
      <c r="EN978" s="1311"/>
      <c r="EO978" s="1311"/>
      <c r="EP978" s="1311"/>
      <c r="EQ978" s="1311"/>
      <c r="ER978" s="1311"/>
      <c r="ES978" s="1311"/>
      <c r="ET978" s="1311"/>
      <c r="EU978" s="1311"/>
      <c r="EV978" s="1311"/>
      <c r="EW978" s="1311"/>
      <c r="EX978" s="1311"/>
      <c r="EY978" s="1311"/>
      <c r="EZ978" s="1311"/>
      <c r="FA978" s="1311"/>
      <c r="FB978" s="1311"/>
      <c r="FC978" s="1311"/>
      <c r="FD978" s="1311"/>
      <c r="FE978" s="1311"/>
      <c r="FF978" s="1311"/>
      <c r="FG978" s="1311"/>
      <c r="FH978" s="1311"/>
      <c r="FI978" s="1311"/>
      <c r="FJ978" s="1311"/>
      <c r="FK978" s="1311"/>
      <c r="FL978" s="1311"/>
      <c r="FM978" s="1311"/>
      <c r="FN978" s="1311"/>
      <c r="FO978" s="1311"/>
      <c r="FP978" s="1311"/>
      <c r="FQ978" s="1311"/>
      <c r="FR978" s="1311"/>
      <c r="FS978" s="1311"/>
      <c r="FT978" s="1311"/>
      <c r="FU978" s="1311"/>
      <c r="FV978" s="1311"/>
      <c r="FW978" s="1311"/>
      <c r="FX978" s="1311"/>
      <c r="FY978" s="1311"/>
      <c r="FZ978" s="1311"/>
      <c r="GA978" s="1311"/>
      <c r="GB978" s="1311"/>
      <c r="GC978" s="1311"/>
      <c r="GD978" s="1311"/>
      <c r="GE978" s="1311"/>
      <c r="GF978" s="1311"/>
      <c r="GG978" s="1311"/>
      <c r="GH978" s="1311"/>
      <c r="GI978" s="1311"/>
      <c r="GJ978" s="1311"/>
      <c r="GK978" s="1311"/>
      <c r="GL978" s="1311"/>
      <c r="GM978" s="1311"/>
      <c r="GN978" s="1311"/>
      <c r="GO978" s="1311"/>
      <c r="GP978" s="1311"/>
      <c r="GQ978" s="1311"/>
      <c r="GR978" s="1311"/>
      <c r="GS978" s="1311"/>
      <c r="GT978" s="1311"/>
      <c r="GU978" s="1311"/>
      <c r="GV978" s="1311"/>
      <c r="GW978" s="1311"/>
      <c r="GX978" s="1311"/>
      <c r="GY978" s="1311"/>
      <c r="GZ978" s="1311"/>
      <c r="HA978" s="1311"/>
      <c r="HB978" s="1311"/>
      <c r="HC978" s="1311"/>
      <c r="HD978" s="1311"/>
      <c r="HE978" s="1311"/>
      <c r="HF978" s="1311"/>
      <c r="HG978" s="1311"/>
      <c r="HH978" s="1311"/>
      <c r="HI978" s="1311"/>
      <c r="HJ978" s="1311"/>
      <c r="HK978" s="1311"/>
      <c r="HL978" s="1311"/>
      <c r="HM978" s="1311"/>
      <c r="HN978" s="1311"/>
      <c r="HO978" s="1311"/>
      <c r="HP978" s="1311"/>
      <c r="HQ978" s="1311"/>
      <c r="HR978" s="1311"/>
      <c r="HS978" s="1311"/>
      <c r="HT978" s="1311"/>
      <c r="HU978" s="1311"/>
      <c r="HV978" s="1311"/>
      <c r="HW978" s="1311"/>
      <c r="HX978" s="1311"/>
      <c r="HY978" s="1311"/>
      <c r="HZ978" s="1311"/>
      <c r="IA978" s="1311"/>
      <c r="IB978" s="1311"/>
      <c r="IC978" s="1311"/>
      <c r="ID978" s="1311"/>
      <c r="IE978" s="1311"/>
      <c r="IF978" s="1311"/>
      <c r="IG978" s="1311"/>
      <c r="IH978" s="1311"/>
      <c r="II978" s="1311"/>
      <c r="IJ978" s="1311"/>
      <c r="IK978" s="1311"/>
      <c r="IL978" s="1311"/>
      <c r="IM978" s="1311"/>
      <c r="IN978" s="1311"/>
      <c r="IO978" s="1311"/>
      <c r="IP978" s="1311"/>
      <c r="IQ978" s="1311"/>
      <c r="IR978" s="1311"/>
      <c r="IS978" s="1311"/>
      <c r="IT978" s="1311"/>
      <c r="IU978" s="1311"/>
      <c r="IV978" s="1311"/>
      <c r="IW978" s="1311"/>
      <c r="IX978" s="1311"/>
      <c r="IY978" s="1311"/>
      <c r="IZ978" s="1311"/>
      <c r="JA978" s="1311"/>
      <c r="JB978" s="1311"/>
      <c r="JC978" s="1311"/>
      <c r="JD978" s="1311"/>
      <c r="JE978" s="1311"/>
      <c r="JF978" s="1311"/>
      <c r="JG978" s="1311"/>
      <c r="JH978" s="1311"/>
      <c r="JI978" s="1311"/>
      <c r="JJ978" s="1311"/>
      <c r="JK978" s="1311"/>
      <c r="JL978" s="1311"/>
      <c r="JM978" s="1311"/>
      <c r="JN978" s="1311"/>
      <c r="JO978" s="1311"/>
      <c r="JP978" s="1311"/>
      <c r="JQ978" s="1311"/>
      <c r="JR978" s="1311"/>
      <c r="JS978" s="1311"/>
      <c r="JT978" s="1311"/>
      <c r="JU978" s="1311"/>
      <c r="JV978" s="1955"/>
      <c r="JW978" s="1311"/>
      <c r="JX978" s="1311"/>
      <c r="JY978" s="1311"/>
      <c r="JZ978" s="1311"/>
      <c r="KA978" s="1955"/>
      <c r="KB978" s="1955"/>
      <c r="KC978" s="1955"/>
      <c r="KD978" s="1955"/>
      <c r="KE978" s="1955"/>
      <c r="KF978" s="1955"/>
      <c r="KG978" s="1955"/>
      <c r="KH978" s="1955"/>
      <c r="KI978" s="1955"/>
      <c r="KJ978" s="1955"/>
      <c r="KK978" s="1955"/>
      <c r="KL978" s="1955"/>
      <c r="KM978" s="1955"/>
      <c r="KN978" s="1955"/>
      <c r="KO978" s="1955"/>
      <c r="KP978" s="1955"/>
      <c r="KQ978" s="1955"/>
      <c r="KR978" s="1955"/>
      <c r="KS978" s="1955"/>
      <c r="KT978" s="1955"/>
      <c r="KU978" s="1955"/>
      <c r="KV978" s="1955"/>
      <c r="KW978" s="1955"/>
      <c r="KX978" s="1955"/>
      <c r="KY978" s="1955"/>
      <c r="KZ978" s="1955"/>
      <c r="LA978" s="1955"/>
      <c r="LB978" s="1955"/>
      <c r="LC978" s="1955"/>
      <c r="LD978" s="1955"/>
      <c r="LE978" s="1955"/>
      <c r="LF978" s="1955"/>
      <c r="LG978" s="1311"/>
      <c r="LH978" s="1311"/>
      <c r="LI978" s="1311"/>
      <c r="LJ978" s="1311"/>
      <c r="LK978" s="1311"/>
      <c r="LL978" s="1311"/>
      <c r="LM978" s="1311"/>
      <c r="LN978" s="1311"/>
      <c r="LO978" s="1311"/>
      <c r="LP978" s="1311"/>
      <c r="LQ978" s="1311"/>
      <c r="LR978" s="1311"/>
      <c r="LS978" s="1311"/>
      <c r="LT978" s="1311"/>
      <c r="LU978" s="1311"/>
      <c r="LV978" s="1311"/>
      <c r="LW978" s="1311"/>
      <c r="LX978" s="1311"/>
      <c r="LY978" s="1311"/>
      <c r="LZ978" s="1311"/>
      <c r="MA978" s="1311"/>
      <c r="MB978" s="1311"/>
      <c r="MC978" s="1311"/>
      <c r="MD978" s="1311"/>
      <c r="ME978" s="1311"/>
      <c r="MF978" s="1311"/>
      <c r="MG978" s="1311"/>
      <c r="MH978" s="1311"/>
      <c r="MI978" s="1311"/>
      <c r="MJ978" s="1311"/>
      <c r="MK978" s="1311"/>
      <c r="ML978" s="1311"/>
      <c r="MM978" s="1311"/>
      <c r="MN978" s="1311"/>
      <c r="MO978" s="1311"/>
      <c r="MP978" s="1311"/>
      <c r="MQ978" s="1311"/>
      <c r="MR978" s="1311"/>
      <c r="MS978" s="1311"/>
    </row>
    <row r="979" spans="1:357" ht="14.25" customHeight="1">
      <c r="A979" s="1311"/>
      <c r="B979" s="1311" t="s">
        <v>1224</v>
      </c>
      <c r="C979" s="1311"/>
      <c r="D979" s="1311"/>
      <c r="E979" s="1311"/>
      <c r="F979" s="2012">
        <f>'Part VI-Revenues &amp; Expenses'!F217</f>
        <v>20000</v>
      </c>
      <c r="G979" s="2012"/>
      <c r="H979" s="1311"/>
      <c r="I979" s="1311"/>
      <c r="J979" s="2026" t="s">
        <v>189</v>
      </c>
      <c r="K979" s="2012">
        <f>SUM(K977:L978)</f>
        <v>3600</v>
      </c>
      <c r="L979" s="2012"/>
      <c r="M979" s="1311"/>
      <c r="N979" s="2027" t="str">
        <f>'Part VI-Revenues &amp; Expenses'!N217</f>
        <v>Other (describe here)</v>
      </c>
      <c r="O979" s="2027"/>
      <c r="P979" s="2013">
        <f>'Part VI-Revenues &amp; Expenses'!P217</f>
        <v>0</v>
      </c>
      <c r="Q979" s="2013"/>
      <c r="R979" s="1979">
        <f>'Part VI-Revenues &amp; Expenses'!R217</f>
        <v>0</v>
      </c>
      <c r="S979" s="1979"/>
      <c r="T979" s="1979"/>
      <c r="U979" s="1979"/>
      <c r="V979" s="1979"/>
      <c r="X979" s="1311"/>
      <c r="Y979" s="1311"/>
      <c r="Z979" s="1311"/>
      <c r="AA979" s="1311"/>
      <c r="AC979" s="1311"/>
      <c r="AD979" s="1311"/>
      <c r="AE979" s="1311"/>
      <c r="AF979" s="1311"/>
      <c r="AH979" s="1311"/>
      <c r="AI979" s="1311"/>
      <c r="AJ979" s="1311"/>
      <c r="AK979" s="1311"/>
      <c r="AM979" s="1311"/>
      <c r="AN979" s="1311"/>
      <c r="AO979" s="1311"/>
      <c r="AP979" s="1311"/>
      <c r="AQ979" s="1311"/>
      <c r="AR979" s="1311"/>
      <c r="AS979" s="1311"/>
      <c r="AT979" s="1311"/>
      <c r="AU979" s="1311"/>
      <c r="AV979" s="1311"/>
      <c r="AW979" s="1311"/>
      <c r="AX979" s="1311"/>
      <c r="AY979" s="1311"/>
      <c r="AZ979" s="1311"/>
      <c r="BA979" s="1311"/>
      <c r="BB979" s="1311"/>
      <c r="BC979" s="1311"/>
      <c r="BD979" s="1311"/>
      <c r="BE979" s="1311"/>
      <c r="BF979" s="1311"/>
      <c r="BG979" s="1311"/>
      <c r="BH979" s="1311"/>
      <c r="BI979" s="1311"/>
      <c r="BJ979" s="1311"/>
      <c r="BK979" s="1311"/>
      <c r="BL979" s="1311"/>
      <c r="BM979" s="1311"/>
      <c r="BN979" s="1311"/>
      <c r="BO979" s="1311"/>
      <c r="BP979" s="1311"/>
      <c r="BQ979" s="1311"/>
      <c r="BR979" s="1311"/>
      <c r="BS979" s="1311"/>
      <c r="BT979" s="1311"/>
      <c r="BU979" s="1311"/>
      <c r="BV979" s="1311"/>
      <c r="BW979" s="1311"/>
      <c r="BX979" s="1311"/>
      <c r="BY979" s="1311"/>
      <c r="BZ979" s="1311"/>
      <c r="CA979" s="1311"/>
      <c r="CB979" s="1311"/>
      <c r="CC979" s="1311"/>
      <c r="CD979" s="1311"/>
      <c r="CE979" s="1311"/>
      <c r="CF979" s="1311"/>
      <c r="CG979" s="1311"/>
      <c r="CH979" s="1311"/>
      <c r="CI979" s="1311"/>
      <c r="CJ979" s="1311"/>
      <c r="CK979" s="1311"/>
      <c r="CL979" s="1311"/>
      <c r="CM979" s="1311"/>
      <c r="CN979" s="1311"/>
      <c r="CO979" s="1311"/>
      <c r="CP979" s="1311"/>
      <c r="CQ979" s="1311"/>
      <c r="CR979" s="1311"/>
      <c r="CS979" s="1311"/>
      <c r="CT979" s="1311"/>
      <c r="CU979" s="1311"/>
      <c r="CV979" s="1311"/>
      <c r="CW979" s="1311"/>
      <c r="CX979" s="1311"/>
      <c r="CY979" s="1311"/>
      <c r="CZ979" s="1311"/>
      <c r="DA979" s="1311"/>
      <c r="DB979" s="1311"/>
      <c r="DC979" s="1311"/>
      <c r="DD979" s="1311"/>
      <c r="DE979" s="1311"/>
      <c r="DF979" s="1311"/>
      <c r="DG979" s="1311"/>
      <c r="DH979" s="1311"/>
      <c r="DI979" s="1311"/>
      <c r="DJ979" s="1311"/>
      <c r="DK979" s="1311"/>
      <c r="DL979" s="1311"/>
      <c r="DM979" s="1311"/>
      <c r="DN979" s="1311"/>
      <c r="DO979" s="1311"/>
      <c r="DP979" s="1311"/>
      <c r="DQ979" s="1311"/>
      <c r="DR979" s="1311"/>
      <c r="DS979" s="1311"/>
      <c r="DT979" s="1311"/>
      <c r="DU979" s="1311"/>
      <c r="DV979" s="1311"/>
      <c r="DW979" s="1311"/>
      <c r="DX979" s="1311"/>
      <c r="DY979" s="1311"/>
      <c r="DZ979" s="1311"/>
      <c r="EA979" s="1311"/>
      <c r="EB979" s="1311"/>
      <c r="EC979" s="1311"/>
      <c r="ED979" s="1311"/>
      <c r="EE979" s="1311"/>
      <c r="EF979" s="1311"/>
      <c r="EG979" s="1311"/>
      <c r="EH979" s="1311"/>
      <c r="EI979" s="1311"/>
      <c r="EJ979" s="1311"/>
      <c r="EK979" s="1311"/>
      <c r="EL979" s="1311"/>
      <c r="EM979" s="1311"/>
      <c r="EN979" s="1311"/>
      <c r="EO979" s="1311"/>
      <c r="EP979" s="1311"/>
      <c r="EQ979" s="1311"/>
      <c r="ER979" s="1311"/>
      <c r="ES979" s="1311"/>
      <c r="ET979" s="1311"/>
      <c r="EU979" s="1311"/>
      <c r="EV979" s="1311"/>
      <c r="EW979" s="1311"/>
      <c r="EX979" s="1311"/>
      <c r="EY979" s="1311"/>
      <c r="EZ979" s="1311"/>
      <c r="FA979" s="1311"/>
      <c r="FB979" s="1311"/>
      <c r="FC979" s="1311"/>
      <c r="FD979" s="1311"/>
      <c r="FE979" s="1311"/>
      <c r="FF979" s="1311"/>
      <c r="FG979" s="1311"/>
      <c r="FH979" s="1311"/>
      <c r="FI979" s="1311"/>
      <c r="FJ979" s="1311"/>
      <c r="FK979" s="1311"/>
      <c r="FL979" s="1311"/>
      <c r="FM979" s="1311"/>
      <c r="FN979" s="1311"/>
      <c r="FO979" s="1311"/>
      <c r="FP979" s="1311"/>
      <c r="FQ979" s="1311"/>
      <c r="FR979" s="1311"/>
      <c r="FS979" s="1311"/>
      <c r="FT979" s="1311"/>
      <c r="FU979" s="1311"/>
      <c r="FV979" s="1311"/>
      <c r="FW979" s="1311"/>
      <c r="FX979" s="1311"/>
      <c r="FY979" s="1311"/>
      <c r="FZ979" s="1311"/>
      <c r="GA979" s="1311"/>
      <c r="GB979" s="1311"/>
      <c r="GC979" s="1311"/>
      <c r="GD979" s="1311"/>
      <c r="GE979" s="1311"/>
      <c r="GF979" s="1311"/>
      <c r="GG979" s="1311"/>
      <c r="GH979" s="1311"/>
      <c r="GI979" s="1311"/>
      <c r="GJ979" s="1311"/>
      <c r="GK979" s="1311"/>
      <c r="GL979" s="1311"/>
      <c r="GM979" s="1311"/>
      <c r="GN979" s="1311"/>
      <c r="GO979" s="1311"/>
      <c r="GP979" s="1311"/>
      <c r="GQ979" s="1311"/>
      <c r="GR979" s="1311"/>
      <c r="GS979" s="1311"/>
      <c r="GT979" s="1311"/>
      <c r="GU979" s="1311"/>
      <c r="GV979" s="1311"/>
      <c r="GW979" s="1311"/>
      <c r="GX979" s="1311"/>
      <c r="GY979" s="1311"/>
      <c r="GZ979" s="1311"/>
      <c r="HA979" s="1311"/>
      <c r="HB979" s="1311"/>
      <c r="HC979" s="1311"/>
      <c r="HD979" s="1311"/>
      <c r="HE979" s="1311"/>
      <c r="HF979" s="1311"/>
      <c r="HG979" s="1311"/>
      <c r="HH979" s="1311"/>
      <c r="HI979" s="1311"/>
      <c r="HJ979" s="1311"/>
      <c r="HK979" s="1311"/>
      <c r="HL979" s="1311"/>
      <c r="HM979" s="1311"/>
      <c r="HN979" s="1311"/>
      <c r="HO979" s="1311"/>
      <c r="HP979" s="1311"/>
      <c r="HQ979" s="1311"/>
      <c r="HR979" s="1311"/>
      <c r="HS979" s="1311"/>
      <c r="HT979" s="1311"/>
      <c r="HU979" s="1311"/>
      <c r="HV979" s="1311"/>
      <c r="HW979" s="1311"/>
      <c r="HX979" s="1311"/>
      <c r="HY979" s="1311"/>
      <c r="HZ979" s="1311"/>
      <c r="IA979" s="1311"/>
      <c r="IB979" s="1311"/>
      <c r="IC979" s="1311"/>
      <c r="ID979" s="1311"/>
      <c r="IE979" s="1311"/>
      <c r="IF979" s="1311"/>
      <c r="IG979" s="1311"/>
      <c r="IH979" s="1311"/>
      <c r="II979" s="1311"/>
      <c r="IJ979" s="1311"/>
      <c r="IK979" s="1311"/>
      <c r="IL979" s="1311"/>
      <c r="IM979" s="1311"/>
      <c r="IN979" s="1311"/>
      <c r="IO979" s="1311"/>
      <c r="IP979" s="1311"/>
      <c r="IQ979" s="1311"/>
      <c r="IR979" s="1311"/>
      <c r="IS979" s="1311"/>
      <c r="IT979" s="1311"/>
      <c r="IU979" s="1311"/>
      <c r="IV979" s="1311"/>
      <c r="IW979" s="1311"/>
      <c r="IX979" s="1311"/>
      <c r="IY979" s="1311"/>
      <c r="IZ979" s="1311"/>
      <c r="JA979" s="1311"/>
      <c r="JB979" s="1311"/>
      <c r="JC979" s="1311"/>
      <c r="JD979" s="1311"/>
      <c r="JE979" s="1311"/>
      <c r="JF979" s="1311"/>
      <c r="JG979" s="1311"/>
      <c r="JH979" s="1311"/>
      <c r="JI979" s="1311"/>
      <c r="JJ979" s="1311"/>
      <c r="JK979" s="1311"/>
      <c r="JL979" s="1311"/>
      <c r="JM979" s="1311"/>
      <c r="JN979" s="1311"/>
      <c r="JO979" s="1311"/>
      <c r="JP979" s="1311"/>
      <c r="JQ979" s="1311"/>
      <c r="JR979" s="1311"/>
      <c r="JS979" s="1311"/>
      <c r="JT979" s="1311"/>
      <c r="JU979" s="1311"/>
      <c r="JV979" s="1955"/>
      <c r="JW979" s="1311"/>
      <c r="JX979" s="1311"/>
      <c r="JY979" s="1311"/>
      <c r="JZ979" s="1311"/>
      <c r="KA979" s="1955"/>
      <c r="KB979" s="1955"/>
      <c r="KC979" s="1955"/>
      <c r="KD979" s="1955"/>
      <c r="KE979" s="1955"/>
      <c r="KF979" s="1955"/>
      <c r="KG979" s="1955"/>
      <c r="KH979" s="1955"/>
      <c r="KI979" s="1955"/>
      <c r="KJ979" s="1955"/>
      <c r="KK979" s="1955"/>
      <c r="KL979" s="1955"/>
      <c r="KM979" s="1955"/>
      <c r="KN979" s="1955"/>
      <c r="KO979" s="1955"/>
      <c r="KP979" s="1955"/>
      <c r="KQ979" s="1955"/>
      <c r="KR979" s="1955"/>
      <c r="KS979" s="1955"/>
      <c r="KT979" s="1955"/>
      <c r="KU979" s="1955"/>
      <c r="KV979" s="1955"/>
      <c r="KW979" s="1955"/>
      <c r="KX979" s="1955"/>
      <c r="KY979" s="1955"/>
      <c r="KZ979" s="1955"/>
      <c r="LA979" s="1955"/>
      <c r="LB979" s="1955"/>
      <c r="LC979" s="1955"/>
      <c r="LD979" s="1955"/>
      <c r="LE979" s="1955"/>
      <c r="LF979" s="1955"/>
      <c r="LG979" s="1311"/>
      <c r="LH979" s="1311"/>
      <c r="LI979" s="1311"/>
      <c r="LJ979" s="1311"/>
      <c r="LK979" s="1311"/>
      <c r="LL979" s="1311"/>
      <c r="LM979" s="1311"/>
      <c r="LN979" s="1311"/>
      <c r="LO979" s="1311"/>
      <c r="LP979" s="1311"/>
      <c r="LQ979" s="1311"/>
      <c r="LR979" s="1311"/>
      <c r="LS979" s="1311"/>
      <c r="LT979" s="1311"/>
      <c r="LU979" s="1311"/>
      <c r="LV979" s="1311"/>
      <c r="LW979" s="1311"/>
      <c r="LX979" s="1311"/>
      <c r="LY979" s="1311"/>
      <c r="LZ979" s="1311"/>
      <c r="MA979" s="1311"/>
      <c r="MB979" s="1311"/>
      <c r="MC979" s="1311"/>
      <c r="MD979" s="1311"/>
      <c r="ME979" s="1311"/>
      <c r="MF979" s="1311"/>
      <c r="MG979" s="1311"/>
      <c r="MH979" s="1311"/>
      <c r="MI979" s="1311"/>
      <c r="MJ979" s="1311"/>
      <c r="MK979" s="1311"/>
      <c r="ML979" s="1311"/>
      <c r="MM979" s="1311"/>
      <c r="MN979" s="1311"/>
      <c r="MO979" s="1311"/>
      <c r="MP979" s="1311"/>
      <c r="MQ979" s="1311"/>
      <c r="MR979" s="1311"/>
      <c r="MS979" s="1311"/>
    </row>
    <row r="980" spans="1:357">
      <c r="A980" s="1311"/>
      <c r="B980" s="457" t="str">
        <f>'Part VI-Revenues &amp; Expenses'!B218</f>
        <v>Enriched Property Services</v>
      </c>
      <c r="C980" s="457"/>
      <c r="D980" s="457"/>
      <c r="E980" s="457"/>
      <c r="F980" s="2012">
        <f>'Part VI-Revenues &amp; Expenses'!F218</f>
        <v>10000</v>
      </c>
      <c r="G980" s="2012"/>
      <c r="H980" s="1311"/>
      <c r="I980" s="1311"/>
      <c r="J980" s="1311"/>
      <c r="K980" s="1311"/>
      <c r="L980" s="1311"/>
      <c r="M980" s="1311"/>
      <c r="N980" s="2026" t="s">
        <v>189</v>
      </c>
      <c r="O980" s="1311"/>
      <c r="P980" s="2013">
        <f>SUM(P977:P979)</f>
        <v>115000</v>
      </c>
      <c r="Q980" s="2013"/>
      <c r="R980" s="1979">
        <f>'Part VI-Revenues &amp; Expenses'!R218</f>
        <v>0</v>
      </c>
      <c r="S980" s="1979"/>
      <c r="T980" s="1979"/>
      <c r="U980" s="1979"/>
      <c r="V980" s="1979"/>
      <c r="X980" s="1311"/>
      <c r="Y980" s="1311"/>
      <c r="Z980" s="1311"/>
      <c r="AA980" s="1311"/>
      <c r="AC980" s="1311"/>
      <c r="AD980" s="1311"/>
      <c r="AE980" s="1311"/>
      <c r="AF980" s="1311"/>
      <c r="AH980" s="1311"/>
      <c r="AI980" s="1311"/>
      <c r="AJ980" s="1311"/>
      <c r="AK980" s="1311"/>
      <c r="AM980" s="1311"/>
      <c r="AN980" s="1311"/>
      <c r="AO980" s="1311"/>
      <c r="AP980" s="1311"/>
      <c r="AQ980" s="1311"/>
      <c r="AR980" s="1311"/>
      <c r="AS980" s="1311"/>
      <c r="AT980" s="1311"/>
      <c r="AU980" s="1311"/>
      <c r="AV980" s="1311"/>
      <c r="AW980" s="1311"/>
      <c r="AX980" s="1311"/>
      <c r="AY980" s="1311"/>
      <c r="AZ980" s="1311"/>
      <c r="BA980" s="1311"/>
      <c r="BB980" s="1311"/>
      <c r="BC980" s="1311"/>
      <c r="BD980" s="1311"/>
      <c r="BE980" s="1311"/>
      <c r="BF980" s="1311"/>
      <c r="BG980" s="1311"/>
      <c r="BH980" s="1311"/>
      <c r="BI980" s="1311"/>
      <c r="BJ980" s="1311"/>
      <c r="BK980" s="1311"/>
      <c r="BL980" s="1311"/>
      <c r="BM980" s="1311"/>
      <c r="BN980" s="1311"/>
      <c r="BO980" s="1311"/>
      <c r="BP980" s="1311"/>
      <c r="BQ980" s="1311"/>
      <c r="BR980" s="1311"/>
      <c r="BS980" s="1311"/>
      <c r="BT980" s="1311"/>
      <c r="BU980" s="1311"/>
      <c r="BV980" s="1311"/>
      <c r="BW980" s="1311"/>
      <c r="BX980" s="1311"/>
      <c r="BY980" s="1311"/>
      <c r="BZ980" s="1311"/>
      <c r="CA980" s="1311"/>
      <c r="CB980" s="1311"/>
      <c r="CC980" s="1311"/>
      <c r="CD980" s="1311"/>
      <c r="CE980" s="1311"/>
      <c r="CF980" s="1311"/>
      <c r="CG980" s="1311"/>
      <c r="CH980" s="1311"/>
      <c r="CI980" s="1311"/>
      <c r="CJ980" s="1311"/>
      <c r="CK980" s="1311"/>
      <c r="CL980" s="1311"/>
      <c r="CM980" s="1311"/>
      <c r="CN980" s="1311"/>
      <c r="CO980" s="1311"/>
      <c r="CP980" s="1311"/>
      <c r="CQ980" s="1311"/>
      <c r="CR980" s="1311"/>
      <c r="CS980" s="1311"/>
      <c r="CT980" s="1311"/>
      <c r="CU980" s="1311"/>
      <c r="CV980" s="1311"/>
      <c r="CW980" s="1311"/>
      <c r="CX980" s="1311"/>
      <c r="CY980" s="1311"/>
      <c r="CZ980" s="1311"/>
      <c r="DA980" s="1311"/>
      <c r="DB980" s="1311"/>
      <c r="DC980" s="1311"/>
      <c r="DD980" s="1311"/>
      <c r="DE980" s="1311"/>
      <c r="DF980" s="1311"/>
      <c r="DG980" s="1311"/>
      <c r="DH980" s="1311"/>
      <c r="DI980" s="1311"/>
      <c r="DJ980" s="1311"/>
      <c r="DK980" s="1311"/>
      <c r="DL980" s="1311"/>
      <c r="DM980" s="1311"/>
      <c r="DN980" s="1311"/>
      <c r="DO980" s="1311"/>
      <c r="DP980" s="1311"/>
      <c r="DQ980" s="1311"/>
      <c r="DR980" s="1311"/>
      <c r="DS980" s="1311"/>
      <c r="DT980" s="1311"/>
      <c r="DU980" s="1311"/>
      <c r="DV980" s="1311"/>
      <c r="DW980" s="1311"/>
      <c r="DX980" s="1311"/>
      <c r="DY980" s="1311"/>
      <c r="DZ980" s="1311"/>
      <c r="EA980" s="1311"/>
      <c r="EB980" s="1311"/>
      <c r="EC980" s="1311"/>
      <c r="ED980" s="1311"/>
      <c r="EE980" s="1311"/>
      <c r="EF980" s="1311"/>
      <c r="EG980" s="1311"/>
      <c r="EH980" s="1311"/>
      <c r="EI980" s="1311"/>
      <c r="EJ980" s="1311"/>
      <c r="EK980" s="1311"/>
      <c r="EL980" s="1311"/>
      <c r="EM980" s="1311"/>
      <c r="EN980" s="1311"/>
      <c r="EO980" s="1311"/>
      <c r="EP980" s="1311"/>
      <c r="EQ980" s="1311"/>
      <c r="ER980" s="1311"/>
      <c r="ES980" s="1311"/>
      <c r="ET980" s="1311"/>
      <c r="EU980" s="1311"/>
      <c r="EV980" s="1311"/>
      <c r="EW980" s="1311"/>
      <c r="EX980" s="1311"/>
      <c r="EY980" s="1311"/>
      <c r="EZ980" s="1311"/>
      <c r="FA980" s="1311"/>
      <c r="FB980" s="1311"/>
      <c r="FC980" s="1311"/>
      <c r="FD980" s="1311"/>
      <c r="FE980" s="1311"/>
      <c r="FF980" s="1311"/>
      <c r="FG980" s="1311"/>
      <c r="FH980" s="1311"/>
      <c r="FI980" s="1311"/>
      <c r="FJ980" s="1311"/>
      <c r="FK980" s="1311"/>
      <c r="FL980" s="1311"/>
      <c r="FM980" s="1311"/>
      <c r="FN980" s="1311"/>
      <c r="FO980" s="1311"/>
      <c r="FP980" s="1311"/>
      <c r="FQ980" s="1311"/>
      <c r="FR980" s="1311"/>
      <c r="FS980" s="1311"/>
      <c r="FT980" s="1311"/>
      <c r="FU980" s="1311"/>
      <c r="FV980" s="1311"/>
      <c r="FW980" s="1311"/>
      <c r="FX980" s="1311"/>
      <c r="FY980" s="1311"/>
      <c r="FZ980" s="1311"/>
      <c r="GA980" s="1311"/>
      <c r="GB980" s="1311"/>
      <c r="GC980" s="1311"/>
      <c r="GD980" s="1311"/>
      <c r="GE980" s="1311"/>
      <c r="GF980" s="1311"/>
      <c r="GG980" s="1311"/>
      <c r="GH980" s="1311"/>
      <c r="GI980" s="1311"/>
      <c r="GJ980" s="1311"/>
      <c r="GK980" s="1311"/>
      <c r="GL980" s="1311"/>
      <c r="GM980" s="1311"/>
      <c r="GN980" s="1311"/>
      <c r="GO980" s="1311"/>
      <c r="GP980" s="1311"/>
      <c r="GQ980" s="1311"/>
      <c r="GR980" s="1311"/>
      <c r="GS980" s="1311"/>
      <c r="GT980" s="1311"/>
      <c r="GU980" s="1311"/>
      <c r="GV980" s="1311"/>
      <c r="GW980" s="1311"/>
      <c r="GX980" s="1311"/>
      <c r="GY980" s="1311"/>
      <c r="GZ980" s="1311"/>
      <c r="HA980" s="1311"/>
      <c r="HB980" s="1311"/>
      <c r="HC980" s="1311"/>
      <c r="HD980" s="1311"/>
      <c r="HE980" s="1311"/>
      <c r="HF980" s="1311"/>
      <c r="HG980" s="1311"/>
      <c r="HH980" s="1311"/>
      <c r="HI980" s="1311"/>
      <c r="HJ980" s="1311"/>
      <c r="HK980" s="1311"/>
      <c r="HL980" s="1311"/>
      <c r="HM980" s="1311"/>
      <c r="HN980" s="1311"/>
      <c r="HO980" s="1311"/>
      <c r="HP980" s="1311"/>
      <c r="HQ980" s="1311"/>
      <c r="HR980" s="1311"/>
      <c r="HS980" s="1311"/>
      <c r="HT980" s="1311"/>
      <c r="HU980" s="1311"/>
      <c r="HV980" s="1311"/>
      <c r="HW980" s="1311"/>
      <c r="HX980" s="1311"/>
      <c r="HY980" s="1311"/>
      <c r="HZ980" s="1311"/>
      <c r="IA980" s="1311"/>
      <c r="IB980" s="1311"/>
      <c r="IC980" s="1311"/>
      <c r="ID980" s="1311"/>
      <c r="IE980" s="1311"/>
      <c r="IF980" s="1311"/>
      <c r="IG980" s="1311"/>
      <c r="IH980" s="1311"/>
      <c r="II980" s="1311"/>
      <c r="IJ980" s="1311"/>
      <c r="IK980" s="1311"/>
      <c r="IL980" s="1311"/>
      <c r="IM980" s="1311"/>
      <c r="IN980" s="1311"/>
      <c r="IO980" s="1311"/>
      <c r="IP980" s="1311"/>
      <c r="IQ980" s="1311"/>
      <c r="IR980" s="1311"/>
      <c r="IS980" s="1311"/>
      <c r="IT980" s="1311"/>
      <c r="IU980" s="1311"/>
      <c r="IV980" s="1311"/>
      <c r="IW980" s="1311"/>
      <c r="IX980" s="1311"/>
      <c r="IY980" s="1311"/>
      <c r="IZ980" s="1311"/>
      <c r="JA980" s="1311"/>
      <c r="JB980" s="1311"/>
      <c r="JC980" s="1311"/>
      <c r="JD980" s="1311"/>
      <c r="JE980" s="1311"/>
      <c r="JF980" s="1311"/>
      <c r="JG980" s="1311"/>
      <c r="JH980" s="1311"/>
      <c r="JI980" s="1311"/>
      <c r="JJ980" s="1311"/>
      <c r="JK980" s="1311"/>
      <c r="JL980" s="1311"/>
      <c r="JM980" s="1311"/>
      <c r="JN980" s="1311"/>
      <c r="JO980" s="1311"/>
      <c r="JP980" s="1311"/>
      <c r="JQ980" s="1311"/>
      <c r="JR980" s="1311"/>
      <c r="JS980" s="1311"/>
      <c r="JT980" s="1311"/>
      <c r="JU980" s="1311"/>
      <c r="JV980" s="1955"/>
      <c r="JW980" s="1311"/>
      <c r="JX980" s="1311"/>
      <c r="JY980" s="1311"/>
      <c r="JZ980" s="1311"/>
      <c r="KA980" s="1955"/>
      <c r="KB980" s="1955"/>
      <c r="KC980" s="1955"/>
      <c r="KD980" s="1955"/>
      <c r="KE980" s="1955"/>
      <c r="KF980" s="1955"/>
      <c r="KG980" s="1955"/>
      <c r="KH980" s="1955"/>
      <c r="KI980" s="1955"/>
      <c r="KJ980" s="1955"/>
      <c r="KK980" s="1955"/>
      <c r="KL980" s="1955"/>
      <c r="KM980" s="1955"/>
      <c r="KN980" s="1955"/>
      <c r="KO980" s="1955"/>
      <c r="KP980" s="1955"/>
      <c r="KQ980" s="1955"/>
      <c r="KR980" s="1955"/>
      <c r="KS980" s="1955"/>
      <c r="KT980" s="1955"/>
      <c r="KU980" s="1955"/>
      <c r="KV980" s="1955"/>
      <c r="KW980" s="1955"/>
      <c r="KX980" s="1955"/>
      <c r="KY980" s="1955"/>
      <c r="KZ980" s="1955"/>
      <c r="LA980" s="1955"/>
      <c r="LB980" s="1955"/>
      <c r="LC980" s="1955"/>
      <c r="LD980" s="1955"/>
      <c r="LE980" s="1955"/>
      <c r="LF980" s="1955"/>
      <c r="LG980" s="1311"/>
      <c r="LH980" s="1311"/>
      <c r="LI980" s="1311"/>
      <c r="LJ980" s="1311"/>
      <c r="LK980" s="1311"/>
      <c r="LL980" s="1311"/>
      <c r="LM980" s="1311"/>
      <c r="LN980" s="1311"/>
      <c r="LO980" s="1311"/>
      <c r="LP980" s="1311"/>
      <c r="LQ980" s="1311"/>
      <c r="LR980" s="1311"/>
      <c r="LS980" s="1311"/>
      <c r="LT980" s="1311"/>
      <c r="LU980" s="1311"/>
      <c r="LV980" s="1311"/>
      <c r="LW980" s="1311"/>
      <c r="LX980" s="1311"/>
      <c r="LY980" s="1311"/>
      <c r="LZ980" s="1311"/>
      <c r="MA980" s="1311"/>
      <c r="MB980" s="1311"/>
      <c r="MC980" s="1311"/>
      <c r="MD980" s="1311"/>
      <c r="ME980" s="1311"/>
      <c r="MF980" s="1311"/>
      <c r="MG980" s="1311"/>
      <c r="MH980" s="1311"/>
      <c r="MI980" s="1311"/>
      <c r="MJ980" s="1311"/>
      <c r="MK980" s="1311"/>
      <c r="ML980" s="1311"/>
      <c r="MM980" s="1311"/>
      <c r="MN980" s="1311"/>
      <c r="MO980" s="1311"/>
      <c r="MP980" s="1311"/>
      <c r="MQ980" s="1311"/>
      <c r="MR980" s="1311"/>
      <c r="MS980" s="1311"/>
    </row>
    <row r="981" spans="1:357">
      <c r="A981" s="1311"/>
      <c r="B981" s="1311"/>
      <c r="C981" s="2026" t="s">
        <v>189</v>
      </c>
      <c r="D981" s="1311"/>
      <c r="E981" s="1311"/>
      <c r="F981" s="2012">
        <f>SUM(F977:G980)</f>
        <v>165000</v>
      </c>
      <c r="G981" s="2012"/>
      <c r="H981" s="1311"/>
      <c r="I981" s="1311"/>
      <c r="J981" s="1993"/>
      <c r="K981" s="1311"/>
      <c r="L981" s="1311"/>
      <c r="M981" s="1311"/>
      <c r="N981" s="1311"/>
      <c r="O981" s="1311"/>
      <c r="P981" s="1311"/>
      <c r="Q981" s="1311"/>
      <c r="R981" s="1979">
        <f>'Part VI-Revenues &amp; Expenses'!R219</f>
        <v>0</v>
      </c>
      <c r="S981" s="1979"/>
      <c r="T981" s="1979"/>
      <c r="U981" s="1979"/>
      <c r="V981" s="1979"/>
      <c r="X981" s="1311"/>
      <c r="Y981" s="1311"/>
      <c r="Z981" s="1311"/>
      <c r="AA981" s="1311"/>
      <c r="AC981" s="1311"/>
      <c r="AD981" s="1311"/>
      <c r="AE981" s="1311"/>
      <c r="AF981" s="1311"/>
      <c r="AH981" s="1311"/>
      <c r="AI981" s="1311"/>
      <c r="AJ981" s="1311"/>
      <c r="AK981" s="1311"/>
      <c r="AM981" s="1311"/>
      <c r="AN981" s="1311"/>
      <c r="AO981" s="1311"/>
      <c r="AP981" s="1311"/>
      <c r="AQ981" s="1311"/>
      <c r="AR981" s="1311"/>
      <c r="AS981" s="1311"/>
      <c r="AT981" s="1311"/>
      <c r="AU981" s="1311"/>
      <c r="AV981" s="1311"/>
      <c r="AW981" s="1311"/>
      <c r="AX981" s="1311"/>
      <c r="AY981" s="1311"/>
      <c r="AZ981" s="1311"/>
      <c r="BA981" s="1311"/>
      <c r="BB981" s="1311"/>
      <c r="BC981" s="1311"/>
      <c r="BD981" s="1311"/>
      <c r="BE981" s="1311"/>
      <c r="BF981" s="1311"/>
      <c r="BG981" s="1311"/>
      <c r="BH981" s="1311"/>
      <c r="BI981" s="1311"/>
      <c r="BJ981" s="1311"/>
      <c r="BK981" s="1311"/>
      <c r="BL981" s="1311"/>
      <c r="BM981" s="1311"/>
      <c r="BN981" s="1311"/>
      <c r="BO981" s="1311"/>
      <c r="BP981" s="1311"/>
      <c r="BQ981" s="1311"/>
      <c r="BR981" s="1311"/>
      <c r="BS981" s="1311"/>
      <c r="BT981" s="1311"/>
      <c r="BU981" s="1311"/>
      <c r="BV981" s="1311"/>
      <c r="BW981" s="1311"/>
      <c r="BX981" s="1311"/>
      <c r="BY981" s="1311"/>
      <c r="BZ981" s="1311"/>
      <c r="CA981" s="1311"/>
      <c r="CB981" s="1311"/>
      <c r="CC981" s="1311"/>
      <c r="CD981" s="1311"/>
      <c r="CE981" s="1311"/>
      <c r="CF981" s="1311"/>
      <c r="CG981" s="1311"/>
      <c r="CH981" s="1311"/>
      <c r="CI981" s="1311"/>
      <c r="CJ981" s="1311"/>
      <c r="CK981" s="1311"/>
      <c r="CL981" s="1311"/>
      <c r="CM981" s="1311"/>
      <c r="CN981" s="1311"/>
      <c r="CO981" s="1311"/>
      <c r="CP981" s="1311"/>
      <c r="CQ981" s="1311"/>
      <c r="CR981" s="1311"/>
      <c r="CS981" s="1311"/>
      <c r="CT981" s="1311"/>
      <c r="CU981" s="1311"/>
      <c r="CV981" s="1311"/>
      <c r="CW981" s="1311"/>
      <c r="CX981" s="1311"/>
      <c r="CY981" s="1311"/>
      <c r="CZ981" s="1311"/>
      <c r="DA981" s="1311"/>
      <c r="DB981" s="1311"/>
      <c r="DC981" s="1311"/>
      <c r="DD981" s="1311"/>
      <c r="DE981" s="1311"/>
      <c r="DF981" s="1311"/>
      <c r="DG981" s="1311"/>
      <c r="DH981" s="1311"/>
      <c r="DI981" s="1311"/>
      <c r="DJ981" s="1311"/>
      <c r="DK981" s="1311"/>
      <c r="DL981" s="1311"/>
      <c r="DM981" s="1311"/>
      <c r="DN981" s="1311"/>
      <c r="DO981" s="1311"/>
      <c r="DP981" s="1311"/>
      <c r="DQ981" s="1311"/>
      <c r="DR981" s="1311"/>
      <c r="DS981" s="1311"/>
      <c r="DT981" s="1311"/>
      <c r="DU981" s="1311"/>
      <c r="DV981" s="1311"/>
      <c r="DW981" s="1311"/>
      <c r="DX981" s="1311"/>
      <c r="DY981" s="1311"/>
      <c r="DZ981" s="1311"/>
      <c r="EA981" s="1311"/>
      <c r="EB981" s="1311"/>
      <c r="EC981" s="1311"/>
      <c r="ED981" s="1311"/>
      <c r="EE981" s="1311"/>
      <c r="EF981" s="1311"/>
      <c r="EG981" s="1311"/>
      <c r="EH981" s="1311"/>
      <c r="EI981" s="1311"/>
      <c r="EJ981" s="1311"/>
      <c r="EK981" s="1311"/>
      <c r="EL981" s="1311"/>
      <c r="EM981" s="1311"/>
      <c r="EN981" s="1311"/>
      <c r="EO981" s="1311"/>
      <c r="EP981" s="1311"/>
      <c r="EQ981" s="1311"/>
      <c r="ER981" s="1311"/>
      <c r="ES981" s="1311"/>
      <c r="ET981" s="1311"/>
      <c r="EU981" s="1311"/>
      <c r="EV981" s="1311"/>
      <c r="EW981" s="1311"/>
      <c r="EX981" s="1311"/>
      <c r="EY981" s="1311"/>
      <c r="EZ981" s="1311"/>
      <c r="FA981" s="1311"/>
      <c r="FB981" s="1311"/>
      <c r="FC981" s="1311"/>
      <c r="FD981" s="1311"/>
      <c r="FE981" s="1311"/>
      <c r="FF981" s="1311"/>
      <c r="FG981" s="1311"/>
      <c r="FH981" s="1311"/>
      <c r="FI981" s="1311"/>
      <c r="FJ981" s="1311"/>
      <c r="FK981" s="1311"/>
      <c r="FL981" s="1311"/>
      <c r="FM981" s="1311"/>
      <c r="FN981" s="1311"/>
      <c r="FO981" s="1311"/>
      <c r="FP981" s="1311"/>
      <c r="FQ981" s="1311"/>
      <c r="FR981" s="1311"/>
      <c r="FS981" s="1311"/>
      <c r="FT981" s="1311"/>
      <c r="FU981" s="1311"/>
      <c r="FV981" s="1311"/>
      <c r="FW981" s="1311"/>
      <c r="FX981" s="1311"/>
      <c r="FY981" s="1311"/>
      <c r="FZ981" s="1311"/>
      <c r="GA981" s="1311"/>
      <c r="GB981" s="1311"/>
      <c r="GC981" s="1311"/>
      <c r="GD981" s="1311"/>
      <c r="GE981" s="1311"/>
      <c r="GF981" s="1311"/>
      <c r="GG981" s="1311"/>
      <c r="GH981" s="1311"/>
      <c r="GI981" s="1311"/>
      <c r="GJ981" s="1311"/>
      <c r="GK981" s="1311"/>
      <c r="GL981" s="1311"/>
      <c r="GM981" s="1311"/>
      <c r="GN981" s="1311"/>
      <c r="GO981" s="1311"/>
      <c r="GP981" s="1311"/>
      <c r="GQ981" s="1311"/>
      <c r="GR981" s="1311"/>
      <c r="GS981" s="1311"/>
      <c r="GT981" s="1311"/>
      <c r="GU981" s="1311"/>
      <c r="GV981" s="1311"/>
      <c r="GW981" s="1311"/>
      <c r="GX981" s="1311"/>
      <c r="GY981" s="1311"/>
      <c r="GZ981" s="1311"/>
      <c r="HA981" s="1311"/>
      <c r="HB981" s="1311"/>
      <c r="HC981" s="1311"/>
      <c r="HD981" s="1311"/>
      <c r="HE981" s="1311"/>
      <c r="HF981" s="1311"/>
      <c r="HG981" s="1311"/>
      <c r="HH981" s="1311"/>
      <c r="HI981" s="1311"/>
      <c r="HJ981" s="1311"/>
      <c r="HK981" s="1311"/>
      <c r="HL981" s="1311"/>
      <c r="HM981" s="1311"/>
      <c r="HN981" s="1311"/>
      <c r="HO981" s="1311"/>
      <c r="HP981" s="1311"/>
      <c r="HQ981" s="1311"/>
      <c r="HR981" s="1311"/>
      <c r="HS981" s="1311"/>
      <c r="HT981" s="1311"/>
      <c r="HU981" s="1311"/>
      <c r="HV981" s="1311"/>
      <c r="HW981" s="1311"/>
      <c r="HX981" s="1311"/>
      <c r="HY981" s="1311"/>
      <c r="HZ981" s="1311"/>
      <c r="IA981" s="1311"/>
      <c r="IB981" s="1311"/>
      <c r="IC981" s="1311"/>
      <c r="ID981" s="1311"/>
      <c r="IE981" s="1311"/>
      <c r="IF981" s="1311"/>
      <c r="IG981" s="1311"/>
      <c r="IH981" s="1311"/>
      <c r="II981" s="1311"/>
      <c r="IJ981" s="1311"/>
      <c r="IK981" s="1311"/>
      <c r="IL981" s="1311"/>
      <c r="IM981" s="1311"/>
      <c r="IN981" s="1311"/>
      <c r="IO981" s="1311"/>
      <c r="IP981" s="1311"/>
      <c r="IQ981" s="1311"/>
      <c r="IR981" s="1311"/>
      <c r="IS981" s="1311"/>
      <c r="IT981" s="1311"/>
      <c r="IU981" s="1311"/>
      <c r="IV981" s="1311"/>
      <c r="IW981" s="1311"/>
      <c r="IX981" s="1311"/>
      <c r="IY981" s="1311"/>
      <c r="IZ981" s="1311"/>
      <c r="JA981" s="1311"/>
      <c r="JB981" s="1311"/>
      <c r="JC981" s="1311"/>
      <c r="JD981" s="1311"/>
      <c r="JE981" s="1311"/>
      <c r="JF981" s="1311"/>
      <c r="JG981" s="1311"/>
      <c r="JH981" s="1311"/>
      <c r="JI981" s="1311"/>
      <c r="JJ981" s="1311"/>
      <c r="JK981" s="1311"/>
      <c r="JL981" s="1311"/>
      <c r="JM981" s="1311"/>
      <c r="JN981" s="1311"/>
      <c r="JO981" s="1311"/>
      <c r="JP981" s="1311"/>
      <c r="JQ981" s="1311"/>
      <c r="JR981" s="1311"/>
      <c r="JS981" s="1311"/>
      <c r="JT981" s="1311"/>
      <c r="JU981" s="1311"/>
      <c r="JV981" s="1955"/>
      <c r="JW981" s="1311"/>
      <c r="JX981" s="1311"/>
      <c r="JY981" s="1311"/>
      <c r="JZ981" s="1311"/>
      <c r="KA981" s="1955"/>
      <c r="KB981" s="1955"/>
      <c r="KC981" s="1955"/>
      <c r="KD981" s="1955"/>
      <c r="KE981" s="1955"/>
      <c r="KF981" s="1955"/>
      <c r="KG981" s="1955"/>
      <c r="KH981" s="1955"/>
      <c r="KI981" s="1955"/>
      <c r="KJ981" s="1955"/>
      <c r="KK981" s="1955"/>
      <c r="KL981" s="1955"/>
      <c r="KM981" s="1955"/>
      <c r="KN981" s="1955"/>
      <c r="KO981" s="1955"/>
      <c r="KP981" s="1955"/>
      <c r="KQ981" s="1955"/>
      <c r="KR981" s="1955"/>
      <c r="KS981" s="1955"/>
      <c r="KT981" s="1955"/>
      <c r="KU981" s="1955"/>
      <c r="KV981" s="1955"/>
      <c r="KW981" s="1955"/>
      <c r="KX981" s="1955"/>
      <c r="KY981" s="1955"/>
      <c r="KZ981" s="1955"/>
      <c r="LA981" s="1955"/>
      <c r="LB981" s="1955"/>
      <c r="LC981" s="1955"/>
      <c r="LD981" s="1955"/>
      <c r="LE981" s="1955"/>
      <c r="LF981" s="1955"/>
      <c r="LG981" s="1311"/>
      <c r="LH981" s="1311"/>
      <c r="LI981" s="1311"/>
      <c r="LJ981" s="1311"/>
      <c r="LK981" s="1311"/>
      <c r="LL981" s="1311"/>
      <c r="LM981" s="1311"/>
      <c r="LN981" s="1311"/>
      <c r="LO981" s="1311"/>
      <c r="LP981" s="1311"/>
      <c r="LQ981" s="1311"/>
      <c r="LR981" s="1311"/>
      <c r="LS981" s="1311"/>
      <c r="LT981" s="1311"/>
      <c r="LU981" s="1311"/>
      <c r="LV981" s="1311"/>
      <c r="LW981" s="1311"/>
      <c r="LX981" s="1311"/>
      <c r="LY981" s="1311"/>
      <c r="LZ981" s="1311"/>
      <c r="MA981" s="1311"/>
      <c r="MB981" s="1311"/>
      <c r="MC981" s="1311"/>
      <c r="MD981" s="1311"/>
      <c r="ME981" s="1311"/>
      <c r="MF981" s="1311"/>
      <c r="MG981" s="1311"/>
      <c r="MH981" s="1311"/>
      <c r="MI981" s="1311"/>
      <c r="MJ981" s="1311"/>
      <c r="MK981" s="1311"/>
      <c r="ML981" s="1311"/>
      <c r="MM981" s="1311"/>
      <c r="MN981" s="1311"/>
      <c r="MO981" s="1311"/>
      <c r="MP981" s="1311"/>
      <c r="MQ981" s="1311"/>
      <c r="MR981" s="1311"/>
      <c r="MS981" s="1311"/>
    </row>
    <row r="982" spans="1:357">
      <c r="A982" s="1311"/>
      <c r="B982" s="1311"/>
      <c r="C982" s="1311"/>
      <c r="D982" s="2026"/>
      <c r="E982" s="1311"/>
      <c r="F982" s="1993"/>
      <c r="G982" s="1993"/>
      <c r="H982" s="1311"/>
      <c r="I982" s="1311"/>
      <c r="J982" s="1993"/>
      <c r="K982" s="1311"/>
      <c r="L982" s="1311"/>
      <c r="M982" s="1311"/>
      <c r="N982" s="1311"/>
      <c r="O982" s="2026"/>
      <c r="P982" s="1311"/>
      <c r="Q982" s="1311"/>
      <c r="R982" s="1979">
        <f>'Part VI-Revenues &amp; Expenses'!R220</f>
        <v>0</v>
      </c>
      <c r="S982" s="1979"/>
      <c r="T982" s="1979"/>
      <c r="U982" s="1979"/>
      <c r="V982" s="1979"/>
      <c r="W982" s="1311"/>
      <c r="X982" s="1311"/>
      <c r="Y982" s="1311"/>
      <c r="Z982" s="1311"/>
      <c r="AA982" s="1311"/>
      <c r="AB982" s="1311"/>
      <c r="AC982" s="1311"/>
      <c r="AD982" s="1311"/>
      <c r="AE982" s="1311"/>
      <c r="AF982" s="1311"/>
      <c r="AG982" s="1311"/>
      <c r="AH982" s="1311"/>
      <c r="AI982" s="1311"/>
      <c r="AJ982" s="1311"/>
      <c r="AK982" s="1311"/>
      <c r="AL982" s="1311"/>
      <c r="AM982" s="1311"/>
      <c r="AN982" s="1311"/>
      <c r="AO982" s="1311"/>
      <c r="AP982" s="1311"/>
      <c r="AQ982" s="1311"/>
      <c r="AR982" s="1311"/>
      <c r="AS982" s="1311"/>
      <c r="AT982" s="1311"/>
      <c r="AU982" s="1311"/>
      <c r="AV982" s="1311"/>
      <c r="AW982" s="1311"/>
      <c r="AX982" s="1311"/>
      <c r="AY982" s="1311"/>
      <c r="AZ982" s="1311"/>
      <c r="BA982" s="1311"/>
      <c r="BB982" s="1311"/>
      <c r="BC982" s="1311"/>
      <c r="BD982" s="1311"/>
      <c r="BE982" s="1311"/>
      <c r="BF982" s="1311"/>
      <c r="BG982" s="1311"/>
      <c r="BH982" s="1311"/>
      <c r="BI982" s="1311"/>
      <c r="BJ982" s="1311"/>
      <c r="BK982" s="1311"/>
      <c r="BL982" s="1311"/>
      <c r="BM982" s="1311"/>
      <c r="BN982" s="1311"/>
      <c r="BO982" s="1311"/>
      <c r="BP982" s="1311"/>
      <c r="BQ982" s="1311"/>
      <c r="BR982" s="1311"/>
      <c r="BS982" s="1311"/>
      <c r="BT982" s="1311"/>
      <c r="BU982" s="1311"/>
      <c r="BV982" s="1311"/>
      <c r="BW982" s="1311"/>
      <c r="BX982" s="1311"/>
      <c r="BY982" s="1311"/>
      <c r="BZ982" s="1311"/>
      <c r="CA982" s="1311"/>
      <c r="CB982" s="1311"/>
      <c r="CC982" s="1311"/>
      <c r="CD982" s="1311"/>
      <c r="CE982" s="1311"/>
      <c r="CF982" s="1311"/>
      <c r="CG982" s="1311"/>
      <c r="CH982" s="1311"/>
      <c r="CI982" s="1311"/>
      <c r="CJ982" s="1311"/>
      <c r="CK982" s="1311"/>
      <c r="CL982" s="1311"/>
      <c r="CM982" s="1311"/>
      <c r="CN982" s="1311"/>
      <c r="CO982" s="1311"/>
      <c r="CP982" s="1311"/>
      <c r="CQ982" s="1311"/>
      <c r="CR982" s="1311"/>
      <c r="CS982" s="1311"/>
      <c r="CT982" s="1311"/>
      <c r="CU982" s="1311"/>
      <c r="CV982" s="1311"/>
      <c r="CW982" s="1311"/>
      <c r="CX982" s="1311"/>
      <c r="CY982" s="1311"/>
      <c r="CZ982" s="1311"/>
      <c r="DA982" s="1311"/>
      <c r="DB982" s="1311"/>
      <c r="DC982" s="1311"/>
      <c r="DD982" s="1311"/>
      <c r="DE982" s="1311"/>
      <c r="DF982" s="1311"/>
      <c r="DG982" s="1311"/>
      <c r="DH982" s="1311"/>
      <c r="DI982" s="1311"/>
      <c r="DJ982" s="1311"/>
      <c r="DK982" s="1311"/>
      <c r="DL982" s="1311"/>
      <c r="DM982" s="1311"/>
      <c r="DN982" s="1311"/>
      <c r="DO982" s="1311"/>
      <c r="DP982" s="1311"/>
      <c r="DQ982" s="1311"/>
      <c r="DR982" s="1311"/>
      <c r="DS982" s="1311"/>
      <c r="DT982" s="1311"/>
      <c r="DU982" s="1311"/>
      <c r="DV982" s="1311"/>
      <c r="DW982" s="1311"/>
      <c r="DX982" s="1311"/>
      <c r="DY982" s="1311"/>
      <c r="DZ982" s="1311"/>
      <c r="EA982" s="1311"/>
      <c r="EB982" s="1311"/>
      <c r="EC982" s="1311"/>
      <c r="ED982" s="1311"/>
      <c r="EE982" s="1311"/>
      <c r="EF982" s="1311"/>
      <c r="EG982" s="1311"/>
      <c r="EH982" s="1311"/>
      <c r="EI982" s="1311"/>
      <c r="EJ982" s="1311"/>
      <c r="EK982" s="1311"/>
      <c r="EL982" s="1311"/>
      <c r="EM982" s="1311"/>
      <c r="EN982" s="1311"/>
      <c r="EO982" s="1311"/>
      <c r="EP982" s="1311"/>
      <c r="EQ982" s="1311"/>
      <c r="ER982" s="1311"/>
      <c r="ES982" s="1311"/>
      <c r="ET982" s="1311"/>
      <c r="EU982" s="1311"/>
      <c r="EV982" s="1311"/>
      <c r="EW982" s="1311"/>
      <c r="EX982" s="1311"/>
      <c r="EY982" s="1311"/>
      <c r="EZ982" s="1311"/>
      <c r="FA982" s="1311"/>
      <c r="FB982" s="1311"/>
      <c r="FC982" s="1311"/>
      <c r="FD982" s="1311"/>
      <c r="FE982" s="1311"/>
      <c r="FF982" s="1311"/>
      <c r="FG982" s="1311"/>
      <c r="FH982" s="1311"/>
      <c r="FI982" s="1311"/>
      <c r="FJ982" s="1311"/>
      <c r="FK982" s="1311"/>
      <c r="FL982" s="1311"/>
      <c r="FM982" s="1311"/>
      <c r="FN982" s="1311"/>
      <c r="FO982" s="1311"/>
      <c r="FP982" s="1311"/>
      <c r="FQ982" s="1311"/>
      <c r="FR982" s="1311"/>
      <c r="FS982" s="1311"/>
      <c r="FT982" s="1311"/>
      <c r="FU982" s="1311"/>
      <c r="FV982" s="1311"/>
      <c r="FW982" s="1311"/>
      <c r="FX982" s="1311"/>
      <c r="FY982" s="1311"/>
      <c r="FZ982" s="1311"/>
      <c r="GA982" s="1311"/>
      <c r="GB982" s="1311"/>
      <c r="GC982" s="1311"/>
      <c r="GD982" s="1311"/>
      <c r="GE982" s="1311"/>
      <c r="GF982" s="1311"/>
      <c r="GG982" s="1311"/>
      <c r="GH982" s="1311"/>
      <c r="GI982" s="1311"/>
      <c r="GJ982" s="1311"/>
      <c r="GK982" s="1311"/>
      <c r="GL982" s="1311"/>
      <c r="GM982" s="1311"/>
      <c r="GN982" s="1311"/>
      <c r="GO982" s="1311"/>
      <c r="GP982" s="1311"/>
      <c r="GQ982" s="1311"/>
      <c r="GR982" s="1311"/>
      <c r="GS982" s="1311"/>
      <c r="GT982" s="1311"/>
      <c r="GU982" s="1311"/>
      <c r="GV982" s="1311"/>
      <c r="GW982" s="1311"/>
      <c r="GX982" s="1311"/>
      <c r="GY982" s="1311"/>
      <c r="GZ982" s="1311"/>
      <c r="HA982" s="1311"/>
      <c r="HB982" s="1311"/>
      <c r="HC982" s="1311"/>
      <c r="HD982" s="1311"/>
      <c r="HE982" s="1311"/>
      <c r="HF982" s="1311"/>
      <c r="HG982" s="1311"/>
      <c r="HH982" s="1311"/>
      <c r="HI982" s="1311"/>
      <c r="HJ982" s="1311"/>
      <c r="HK982" s="1311"/>
      <c r="HL982" s="1311"/>
      <c r="HM982" s="1311"/>
      <c r="HN982" s="1311"/>
      <c r="HO982" s="1311"/>
      <c r="HP982" s="1311"/>
      <c r="HQ982" s="1311"/>
      <c r="HR982" s="1311"/>
      <c r="HS982" s="1311"/>
      <c r="HT982" s="1311"/>
      <c r="HU982" s="1311"/>
      <c r="HV982" s="1311"/>
      <c r="HW982" s="1311"/>
      <c r="HX982" s="1311"/>
      <c r="HY982" s="1311"/>
      <c r="HZ982" s="1311"/>
      <c r="IA982" s="1311"/>
      <c r="IB982" s="1311"/>
      <c r="IC982" s="1311"/>
      <c r="ID982" s="1311"/>
      <c r="IE982" s="1311"/>
      <c r="IF982" s="1311"/>
      <c r="IG982" s="1311"/>
      <c r="IH982" s="1311"/>
      <c r="II982" s="1311"/>
      <c r="IJ982" s="1311"/>
      <c r="IK982" s="1311"/>
      <c r="IL982" s="1311"/>
      <c r="IM982" s="1311"/>
      <c r="IN982" s="1311"/>
      <c r="IO982" s="1311"/>
      <c r="IP982" s="1311"/>
      <c r="IQ982" s="1311"/>
      <c r="IR982" s="1311"/>
      <c r="IS982" s="1311"/>
      <c r="IT982" s="1311"/>
      <c r="IU982" s="1311"/>
      <c r="IV982" s="1311"/>
      <c r="IW982" s="1311"/>
      <c r="IX982" s="1311"/>
      <c r="IY982" s="1311"/>
      <c r="IZ982" s="1311"/>
      <c r="JA982" s="1311"/>
      <c r="JB982" s="1311"/>
      <c r="JC982" s="1311"/>
      <c r="JD982" s="1311"/>
      <c r="JE982" s="1311"/>
      <c r="JF982" s="1311"/>
      <c r="JG982" s="1311"/>
      <c r="JH982" s="1311"/>
      <c r="JI982" s="1311"/>
      <c r="JJ982" s="1311"/>
      <c r="JK982" s="1311"/>
      <c r="JL982" s="1311"/>
      <c r="JM982" s="1311"/>
      <c r="JN982" s="1311"/>
      <c r="JO982" s="1311"/>
      <c r="JP982" s="1311"/>
      <c r="JQ982" s="1311"/>
      <c r="JR982" s="1311"/>
      <c r="JS982" s="1311"/>
      <c r="JT982" s="1311"/>
      <c r="JU982" s="1311"/>
      <c r="JV982" s="1955"/>
      <c r="JW982" s="1311"/>
      <c r="JX982" s="1311"/>
      <c r="JY982" s="1311"/>
      <c r="JZ982" s="1311"/>
      <c r="KA982" s="1955"/>
      <c r="KB982" s="1955"/>
      <c r="KC982" s="1955"/>
      <c r="KD982" s="1955"/>
      <c r="KE982" s="1955"/>
      <c r="KF982" s="1955"/>
      <c r="KG982" s="1955"/>
      <c r="KH982" s="1955"/>
      <c r="KI982" s="1955"/>
      <c r="KJ982" s="1955"/>
      <c r="KK982" s="1955"/>
      <c r="KL982" s="1955"/>
      <c r="KM982" s="1955"/>
      <c r="KN982" s="1955"/>
      <c r="KO982" s="1955"/>
      <c r="KP982" s="1955"/>
      <c r="KQ982" s="1955"/>
      <c r="KR982" s="1955"/>
      <c r="KS982" s="1955"/>
      <c r="KT982" s="1955"/>
      <c r="KU982" s="1955"/>
      <c r="KV982" s="1955"/>
      <c r="KW982" s="1955"/>
      <c r="KX982" s="1955"/>
      <c r="KY982" s="1955"/>
      <c r="KZ982" s="1955"/>
      <c r="LA982" s="1955"/>
      <c r="LB982" s="1955"/>
      <c r="LC982" s="1955"/>
      <c r="LD982" s="1955"/>
      <c r="LE982" s="1955"/>
      <c r="LF982" s="1955"/>
      <c r="LG982" s="1311"/>
      <c r="LH982" s="1311"/>
      <c r="LI982" s="1311"/>
      <c r="LJ982" s="1311"/>
      <c r="LK982" s="1311"/>
      <c r="LL982" s="1311"/>
      <c r="LM982" s="1311"/>
      <c r="LN982" s="1311"/>
      <c r="LO982" s="1311"/>
      <c r="LP982" s="1311"/>
      <c r="LQ982" s="1311"/>
      <c r="LR982" s="1311"/>
      <c r="LS982" s="1311"/>
      <c r="LT982" s="1311"/>
      <c r="LU982" s="1311"/>
      <c r="LV982" s="1311"/>
      <c r="LW982" s="1311"/>
      <c r="LX982" s="1311"/>
      <c r="LY982" s="1311"/>
      <c r="LZ982" s="1311"/>
      <c r="MA982" s="1311"/>
      <c r="MB982" s="1311"/>
      <c r="MC982" s="1311"/>
      <c r="MD982" s="1311"/>
      <c r="ME982" s="1311"/>
      <c r="MF982" s="1311"/>
      <c r="MG982" s="1311"/>
      <c r="MH982" s="1311"/>
      <c r="MI982" s="1311"/>
      <c r="MJ982" s="1311"/>
      <c r="MK982" s="1311"/>
      <c r="ML982" s="1311"/>
      <c r="MM982" s="1311"/>
      <c r="MN982" s="1311"/>
      <c r="MO982" s="1311"/>
      <c r="MP982" s="1311"/>
      <c r="MQ982" s="1311"/>
      <c r="MR982" s="1311"/>
      <c r="MS982" s="1311"/>
    </row>
    <row r="983" spans="1:357">
      <c r="A983" s="1311"/>
      <c r="B983" s="1311" t="s">
        <v>1276</v>
      </c>
      <c r="C983" s="1311"/>
      <c r="D983" s="2028"/>
      <c r="E983" s="1311"/>
      <c r="F983" s="1311"/>
      <c r="G983" s="1311"/>
      <c r="H983" s="1311"/>
      <c r="I983" s="1311" t="s">
        <v>1277</v>
      </c>
      <c r="J983" s="1311"/>
      <c r="K983" s="1311"/>
      <c r="L983" s="1311"/>
      <c r="M983" s="1311"/>
      <c r="N983" s="1311" t="s">
        <v>1365</v>
      </c>
      <c r="O983" s="1311"/>
      <c r="P983" s="2029">
        <f>'Part VI-Revenues &amp; Expenses'!P221</f>
        <v>36450</v>
      </c>
      <c r="Q983" s="2029"/>
      <c r="R983" s="1979">
        <f>'Part VI-Revenues &amp; Expenses'!R221</f>
        <v>0</v>
      </c>
      <c r="S983" s="1979"/>
      <c r="T983" s="1979"/>
      <c r="U983" s="1979"/>
      <c r="V983" s="1979"/>
      <c r="X983" s="1311"/>
      <c r="Y983" s="1311"/>
      <c r="Z983" s="1311"/>
      <c r="AA983" s="1311"/>
      <c r="AC983" s="1311"/>
      <c r="AD983" s="1311"/>
      <c r="AE983" s="1311"/>
      <c r="AF983" s="1311"/>
      <c r="AH983" s="1311"/>
      <c r="AI983" s="1311"/>
      <c r="AJ983" s="1311"/>
      <c r="AK983" s="1311"/>
      <c r="AM983" s="1311"/>
      <c r="AN983" s="1311"/>
      <c r="AO983" s="1311"/>
      <c r="AP983" s="1311"/>
      <c r="AQ983" s="1311"/>
      <c r="AR983" s="1311"/>
      <c r="AS983" s="1311"/>
      <c r="AT983" s="1311"/>
      <c r="AU983" s="1311"/>
      <c r="AV983" s="1311"/>
      <c r="AW983" s="1311"/>
      <c r="AX983" s="1311"/>
      <c r="AY983" s="1311"/>
      <c r="AZ983" s="1311"/>
      <c r="BA983" s="1311"/>
      <c r="BB983" s="1311"/>
      <c r="BC983" s="1311"/>
      <c r="BD983" s="1311"/>
      <c r="BE983" s="1311"/>
      <c r="BF983" s="1311"/>
      <c r="BG983" s="1311"/>
      <c r="BH983" s="1311"/>
      <c r="BI983" s="1311"/>
      <c r="BJ983" s="1311"/>
      <c r="BK983" s="1311"/>
      <c r="BL983" s="1311"/>
      <c r="BM983" s="1311"/>
      <c r="BN983" s="1311"/>
      <c r="BO983" s="1311"/>
      <c r="BP983" s="1311"/>
      <c r="BQ983" s="1311"/>
      <c r="BR983" s="1311"/>
      <c r="BS983" s="1311"/>
      <c r="BT983" s="1311"/>
      <c r="BU983" s="1311"/>
      <c r="BV983" s="1311"/>
      <c r="BW983" s="1311"/>
      <c r="BX983" s="1311"/>
      <c r="BY983" s="1311"/>
      <c r="BZ983" s="1311"/>
      <c r="CA983" s="1311"/>
      <c r="CB983" s="1311"/>
      <c r="CC983" s="1311"/>
      <c r="CD983" s="1311"/>
      <c r="CE983" s="1311"/>
      <c r="CF983" s="1311"/>
      <c r="CG983" s="1311"/>
      <c r="CH983" s="1311"/>
      <c r="CI983" s="1311"/>
      <c r="CJ983" s="1311"/>
      <c r="CK983" s="1311"/>
      <c r="CL983" s="1311"/>
      <c r="CM983" s="1311"/>
      <c r="CN983" s="1311"/>
      <c r="CO983" s="1311"/>
      <c r="CP983" s="1311"/>
      <c r="CQ983" s="1311"/>
      <c r="CR983" s="1311"/>
      <c r="CS983" s="1311"/>
      <c r="CT983" s="1311"/>
      <c r="CU983" s="1311"/>
      <c r="CV983" s="1311"/>
      <c r="CW983" s="1311"/>
      <c r="CX983" s="1311"/>
      <c r="CY983" s="1311"/>
      <c r="CZ983" s="1311"/>
      <c r="DA983" s="1311"/>
      <c r="DB983" s="1311"/>
      <c r="DC983" s="1311"/>
      <c r="DD983" s="1311"/>
      <c r="DE983" s="1311"/>
      <c r="DF983" s="1311"/>
      <c r="DG983" s="1311"/>
      <c r="DH983" s="1311"/>
      <c r="DI983" s="1311"/>
      <c r="DJ983" s="1311"/>
      <c r="DK983" s="1311"/>
      <c r="DL983" s="1311"/>
      <c r="DM983" s="1311"/>
      <c r="DN983" s="1311"/>
      <c r="DO983" s="1311"/>
      <c r="DP983" s="1311"/>
      <c r="DQ983" s="1311"/>
      <c r="DR983" s="1311"/>
      <c r="DS983" s="1311"/>
      <c r="DT983" s="1311"/>
      <c r="DU983" s="1311"/>
      <c r="DV983" s="1311"/>
      <c r="DW983" s="1311"/>
      <c r="DX983" s="1311"/>
      <c r="DY983" s="1311"/>
      <c r="DZ983" s="1311"/>
      <c r="EA983" s="1311"/>
      <c r="EB983" s="1311"/>
      <c r="EC983" s="1311"/>
      <c r="ED983" s="1311"/>
      <c r="EE983" s="1311"/>
      <c r="EF983" s="1311"/>
      <c r="EG983" s="1311"/>
      <c r="EH983" s="1311"/>
      <c r="EI983" s="1311"/>
      <c r="EJ983" s="1311"/>
      <c r="EK983" s="1311"/>
      <c r="EL983" s="1311"/>
      <c r="EM983" s="1311"/>
      <c r="EN983" s="1311"/>
      <c r="EO983" s="1311"/>
      <c r="EP983" s="1311"/>
      <c r="EQ983" s="1311"/>
      <c r="ER983" s="1311"/>
      <c r="ES983" s="1311"/>
      <c r="ET983" s="1311"/>
      <c r="EU983" s="1311"/>
      <c r="EV983" s="1311"/>
      <c r="EW983" s="1311"/>
      <c r="EX983" s="1311"/>
      <c r="EY983" s="1311"/>
      <c r="EZ983" s="1311"/>
      <c r="FA983" s="1311"/>
      <c r="FB983" s="1311"/>
      <c r="FC983" s="1311"/>
      <c r="FD983" s="1311"/>
      <c r="FE983" s="1311"/>
      <c r="FF983" s="1311"/>
      <c r="FG983" s="1311"/>
      <c r="FH983" s="1311"/>
      <c r="FI983" s="1311"/>
      <c r="FJ983" s="1311"/>
      <c r="FK983" s="1311"/>
      <c r="FL983" s="1311"/>
      <c r="FM983" s="1311"/>
      <c r="FN983" s="1311"/>
      <c r="FO983" s="1311"/>
      <c r="FP983" s="1311"/>
      <c r="FQ983" s="1311"/>
      <c r="FR983" s="1311"/>
      <c r="FS983" s="1311"/>
      <c r="FT983" s="1311"/>
      <c r="FU983" s="1311"/>
      <c r="FV983" s="1311"/>
      <c r="FW983" s="1311"/>
      <c r="FX983" s="1311"/>
      <c r="FY983" s="1311"/>
      <c r="FZ983" s="1311"/>
      <c r="GA983" s="1311"/>
      <c r="GB983" s="1311"/>
      <c r="GC983" s="1311"/>
      <c r="GD983" s="1311"/>
      <c r="GE983" s="1311"/>
      <c r="GF983" s="1311"/>
      <c r="GG983" s="1311"/>
      <c r="GH983" s="1311"/>
      <c r="GI983" s="1311"/>
      <c r="GJ983" s="1311"/>
      <c r="GK983" s="1311"/>
      <c r="GL983" s="1311"/>
      <c r="GM983" s="1311"/>
      <c r="GN983" s="1311"/>
      <c r="GO983" s="1311"/>
      <c r="GP983" s="1311"/>
      <c r="GQ983" s="1311"/>
      <c r="GR983" s="1311"/>
      <c r="GS983" s="1311"/>
      <c r="GT983" s="1311"/>
      <c r="GU983" s="1311"/>
      <c r="GV983" s="1311"/>
      <c r="GW983" s="1311"/>
      <c r="GX983" s="1311"/>
      <c r="GY983" s="1311"/>
      <c r="GZ983" s="1311"/>
      <c r="HA983" s="1311"/>
      <c r="HB983" s="1311"/>
      <c r="HC983" s="1311"/>
      <c r="HD983" s="1311"/>
      <c r="HE983" s="1311"/>
      <c r="HF983" s="1311"/>
      <c r="HG983" s="1311"/>
      <c r="HH983" s="1311"/>
      <c r="HI983" s="1311"/>
      <c r="HJ983" s="1311"/>
      <c r="HK983" s="1311"/>
      <c r="HL983" s="1311"/>
      <c r="HM983" s="1311"/>
      <c r="HN983" s="1311"/>
      <c r="HO983" s="1311"/>
      <c r="HP983" s="1311"/>
      <c r="HQ983" s="1311"/>
      <c r="HR983" s="1311"/>
      <c r="HS983" s="1311"/>
      <c r="HT983" s="1311"/>
      <c r="HU983" s="1311"/>
      <c r="HV983" s="1311"/>
      <c r="HW983" s="1311"/>
      <c r="HX983" s="1311"/>
      <c r="HY983" s="1311"/>
      <c r="HZ983" s="1311"/>
      <c r="IA983" s="1311"/>
      <c r="IB983" s="1311"/>
      <c r="IC983" s="1311"/>
      <c r="ID983" s="1311"/>
      <c r="IE983" s="1311"/>
      <c r="IF983" s="1311"/>
      <c r="IG983" s="1311"/>
      <c r="IH983" s="1311"/>
      <c r="II983" s="1311"/>
      <c r="IJ983" s="1311"/>
      <c r="IK983" s="1311"/>
      <c r="IL983" s="1311"/>
      <c r="IM983" s="1311"/>
      <c r="IN983" s="1311"/>
      <c r="IO983" s="1311"/>
      <c r="IP983" s="1311"/>
      <c r="IQ983" s="1311"/>
      <c r="IR983" s="1311"/>
      <c r="IS983" s="1311"/>
      <c r="IT983" s="1311"/>
      <c r="IU983" s="1311"/>
      <c r="IV983" s="1311"/>
      <c r="IW983" s="1311"/>
      <c r="IX983" s="1311"/>
      <c r="IY983" s="1311"/>
      <c r="IZ983" s="1311"/>
      <c r="JA983" s="1311"/>
      <c r="JB983" s="1311"/>
      <c r="JC983" s="1311"/>
      <c r="JD983" s="1311"/>
      <c r="JE983" s="1311"/>
      <c r="JF983" s="1311"/>
      <c r="JG983" s="1311"/>
      <c r="JH983" s="1311"/>
      <c r="JI983" s="1311"/>
      <c r="JJ983" s="1311"/>
      <c r="JK983" s="1311"/>
      <c r="JL983" s="1311"/>
      <c r="JM983" s="1311"/>
      <c r="JN983" s="1311"/>
      <c r="JO983" s="1311"/>
      <c r="JP983" s="1311"/>
      <c r="JQ983" s="1311"/>
      <c r="JR983" s="1311"/>
      <c r="JS983" s="1311"/>
      <c r="JT983" s="1311"/>
      <c r="JU983" s="1311"/>
      <c r="JV983" s="1955"/>
      <c r="JW983" s="1311"/>
      <c r="JX983" s="1311"/>
      <c r="JY983" s="1311"/>
      <c r="JZ983" s="1311"/>
      <c r="KA983" s="1955"/>
      <c r="KB983" s="1955"/>
      <c r="KC983" s="1955"/>
      <c r="KD983" s="1955"/>
      <c r="KE983" s="1955"/>
      <c r="KF983" s="1955"/>
      <c r="KG983" s="1955"/>
      <c r="KH983" s="1955"/>
      <c r="KI983" s="1955"/>
      <c r="KJ983" s="1955"/>
      <c r="KK983" s="1955"/>
      <c r="KL983" s="1955"/>
      <c r="KM983" s="1955"/>
      <c r="KN983" s="1955"/>
      <c r="KO983" s="1955"/>
      <c r="KP983" s="1955"/>
      <c r="KQ983" s="1955"/>
      <c r="KR983" s="1955"/>
      <c r="KS983" s="1955"/>
      <c r="KT983" s="1955"/>
      <c r="KU983" s="1955"/>
      <c r="KV983" s="1955"/>
      <c r="KW983" s="1955"/>
      <c r="KX983" s="1955"/>
      <c r="KY983" s="1955"/>
      <c r="KZ983" s="1955"/>
      <c r="LA983" s="1955"/>
      <c r="LB983" s="1955"/>
      <c r="LC983" s="1955"/>
      <c r="LD983" s="1955"/>
      <c r="LE983" s="1955"/>
      <c r="LF983" s="1955"/>
      <c r="LG983" s="1311"/>
      <c r="LH983" s="1311"/>
      <c r="LI983" s="1311"/>
      <c r="LJ983" s="1311"/>
      <c r="LK983" s="1311"/>
      <c r="LL983" s="1311"/>
      <c r="LM983" s="1311"/>
      <c r="LN983" s="1311"/>
      <c r="LO983" s="1311"/>
      <c r="LP983" s="1311"/>
      <c r="LQ983" s="1311"/>
      <c r="LR983" s="1311"/>
      <c r="LS983" s="1311"/>
      <c r="LT983" s="1311"/>
      <c r="LU983" s="1311"/>
      <c r="LV983" s="1311"/>
      <c r="LW983" s="1311"/>
      <c r="LX983" s="1311"/>
      <c r="LY983" s="1311"/>
      <c r="LZ983" s="1311"/>
      <c r="MA983" s="1311"/>
      <c r="MB983" s="1311"/>
      <c r="MC983" s="1311"/>
      <c r="MD983" s="1311"/>
      <c r="ME983" s="1311"/>
      <c r="MF983" s="1311"/>
      <c r="MG983" s="1311"/>
      <c r="MH983" s="1311"/>
      <c r="MI983" s="1311"/>
      <c r="MJ983" s="1311"/>
      <c r="MK983" s="1311"/>
      <c r="ML983" s="1311"/>
      <c r="MM983" s="1311"/>
      <c r="MN983" s="1311"/>
      <c r="MO983" s="1311"/>
      <c r="MP983" s="1311"/>
      <c r="MQ983" s="1311"/>
      <c r="MR983" s="1311"/>
      <c r="MS983" s="1311"/>
    </row>
    <row r="984" spans="1:357">
      <c r="A984" s="1311"/>
      <c r="B984" s="1311" t="s">
        <v>1357</v>
      </c>
      <c r="C984" s="1311"/>
      <c r="D984" s="2028"/>
      <c r="E984" s="1311"/>
      <c r="F984" s="2012">
        <f>'Part VI-Revenues &amp; Expenses'!F222</f>
        <v>2500</v>
      </c>
      <c r="G984" s="2012"/>
      <c r="H984" s="1311"/>
      <c r="I984" s="1311" t="s">
        <v>1583</v>
      </c>
      <c r="J984" s="1311"/>
      <c r="K984" s="2012">
        <f>'Part VI-Revenues &amp; Expenses'!K222</f>
        <v>5500</v>
      </c>
      <c r="L984" s="2012"/>
      <c r="M984" s="1311"/>
      <c r="N984" s="2030">
        <f>+P983/(O829*0.93)</f>
        <v>466.58986175115206</v>
      </c>
      <c r="O984" s="1997" t="s">
        <v>2711</v>
      </c>
      <c r="P984" s="1311"/>
      <c r="Q984" s="1311"/>
      <c r="R984" s="1979">
        <f>'Part VI-Revenues &amp; Expenses'!R222</f>
        <v>0</v>
      </c>
      <c r="S984" s="1979"/>
      <c r="T984" s="1979"/>
      <c r="U984" s="1979"/>
      <c r="V984" s="1979"/>
      <c r="X984" s="1311"/>
      <c r="Y984" s="1311"/>
      <c r="Z984" s="1311"/>
      <c r="AA984" s="1311"/>
      <c r="AC984" s="1311"/>
      <c r="AD984" s="1311"/>
      <c r="AE984" s="1311"/>
      <c r="AF984" s="1311"/>
      <c r="AH984" s="1311"/>
      <c r="AI984" s="1311"/>
      <c r="AJ984" s="1311"/>
      <c r="AK984" s="1311"/>
      <c r="AM984" s="1311"/>
      <c r="AN984" s="1311"/>
      <c r="AO984" s="1311"/>
      <c r="AP984" s="1311"/>
      <c r="AQ984" s="1311"/>
      <c r="AR984" s="1311"/>
      <c r="AS984" s="1311"/>
      <c r="AT984" s="1311"/>
      <c r="AU984" s="1311"/>
      <c r="AV984" s="1311"/>
      <c r="AW984" s="1311"/>
      <c r="AX984" s="1311"/>
      <c r="AY984" s="1311"/>
      <c r="AZ984" s="1311"/>
      <c r="BA984" s="1311"/>
      <c r="BB984" s="1311"/>
      <c r="BC984" s="1311"/>
      <c r="BD984" s="1311"/>
      <c r="BE984" s="1311"/>
      <c r="BF984" s="1311"/>
      <c r="BG984" s="1311"/>
      <c r="BH984" s="1311"/>
      <c r="BI984" s="1311"/>
      <c r="BJ984" s="1311"/>
      <c r="BK984" s="1311"/>
      <c r="BL984" s="1311"/>
      <c r="BM984" s="1311"/>
      <c r="BN984" s="1311"/>
      <c r="BO984" s="1311"/>
      <c r="BP984" s="1311"/>
      <c r="BQ984" s="1311"/>
      <c r="BR984" s="1311"/>
      <c r="BS984" s="1311"/>
      <c r="BT984" s="1311"/>
      <c r="BU984" s="1311"/>
      <c r="BV984" s="1311"/>
      <c r="BW984" s="1311"/>
      <c r="BX984" s="1311"/>
      <c r="BY984" s="1311"/>
      <c r="BZ984" s="1311"/>
      <c r="CA984" s="1311"/>
      <c r="CB984" s="1311"/>
      <c r="CC984" s="1311"/>
      <c r="CD984" s="1311"/>
      <c r="CE984" s="1311"/>
      <c r="CF984" s="1311"/>
      <c r="CG984" s="1311"/>
      <c r="CH984" s="1311"/>
      <c r="CI984" s="1311"/>
      <c r="CJ984" s="1311"/>
      <c r="CK984" s="1311"/>
      <c r="CL984" s="1311"/>
      <c r="CM984" s="1311"/>
      <c r="CN984" s="1311"/>
      <c r="CO984" s="1311"/>
      <c r="CP984" s="1311"/>
      <c r="CQ984" s="1311"/>
      <c r="CR984" s="1311"/>
      <c r="CS984" s="1311"/>
      <c r="CT984" s="1311"/>
      <c r="CU984" s="1311"/>
      <c r="CV984" s="1311"/>
      <c r="CW984" s="1311"/>
      <c r="CX984" s="1311"/>
      <c r="CY984" s="1311"/>
      <c r="CZ984" s="1311"/>
      <c r="DA984" s="1311"/>
      <c r="DB984" s="1311"/>
      <c r="DC984" s="1311"/>
      <c r="DD984" s="1311"/>
      <c r="DE984" s="1311"/>
      <c r="DF984" s="1311"/>
      <c r="DG984" s="1311"/>
      <c r="DH984" s="1311"/>
      <c r="DI984" s="1311"/>
      <c r="DJ984" s="1311"/>
      <c r="DK984" s="1311"/>
      <c r="DL984" s="1311"/>
      <c r="DM984" s="1311"/>
      <c r="DN984" s="1311"/>
      <c r="DO984" s="1311"/>
      <c r="DP984" s="1311"/>
      <c r="DQ984" s="1311"/>
      <c r="DR984" s="1311"/>
      <c r="DS984" s="1311"/>
      <c r="DT984" s="1311"/>
      <c r="DU984" s="1311"/>
      <c r="DV984" s="1311"/>
      <c r="DW984" s="1311"/>
      <c r="DX984" s="1311"/>
      <c r="DY984" s="1311"/>
      <c r="DZ984" s="1311"/>
      <c r="EA984" s="1311"/>
      <c r="EB984" s="1311"/>
      <c r="EC984" s="1311"/>
      <c r="ED984" s="1311"/>
      <c r="EE984" s="1311"/>
      <c r="EF984" s="1311"/>
      <c r="EG984" s="1311"/>
      <c r="EH984" s="1311"/>
      <c r="EI984" s="1311"/>
      <c r="EJ984" s="1311"/>
      <c r="EK984" s="1311"/>
      <c r="EL984" s="1311"/>
      <c r="EM984" s="1311"/>
      <c r="EN984" s="1311"/>
      <c r="EO984" s="1311"/>
      <c r="EP984" s="1311"/>
      <c r="EQ984" s="1311"/>
      <c r="ER984" s="1311"/>
      <c r="ES984" s="1311"/>
      <c r="ET984" s="1311"/>
      <c r="EU984" s="1311"/>
      <c r="EV984" s="1311"/>
      <c r="EW984" s="1311"/>
      <c r="EX984" s="1311"/>
      <c r="EY984" s="1311"/>
      <c r="EZ984" s="1311"/>
      <c r="FA984" s="1311"/>
      <c r="FB984" s="1311"/>
      <c r="FC984" s="1311"/>
      <c r="FD984" s="1311"/>
      <c r="FE984" s="1311"/>
      <c r="FF984" s="1311"/>
      <c r="FG984" s="1311"/>
      <c r="FH984" s="1311"/>
      <c r="FI984" s="1311"/>
      <c r="FJ984" s="1311"/>
      <c r="FK984" s="1311"/>
      <c r="FL984" s="1311"/>
      <c r="FM984" s="1311"/>
      <c r="FN984" s="1311"/>
      <c r="FO984" s="1311"/>
      <c r="FP984" s="1311"/>
      <c r="FQ984" s="1311"/>
      <c r="FR984" s="1311"/>
      <c r="FS984" s="1311"/>
      <c r="FT984" s="1311"/>
      <c r="FU984" s="1311"/>
      <c r="FV984" s="1311"/>
      <c r="FW984" s="1311"/>
      <c r="FX984" s="1311"/>
      <c r="FY984" s="1311"/>
      <c r="FZ984" s="1311"/>
      <c r="GA984" s="1311"/>
      <c r="GB984" s="1311"/>
      <c r="GC984" s="1311"/>
      <c r="GD984" s="1311"/>
      <c r="GE984" s="1311"/>
      <c r="GF984" s="1311"/>
      <c r="GG984" s="1311"/>
      <c r="GH984" s="1311"/>
      <c r="GI984" s="1311"/>
      <c r="GJ984" s="1311"/>
      <c r="GK984" s="1311"/>
      <c r="GL984" s="1311"/>
      <c r="GM984" s="1311"/>
      <c r="GN984" s="1311"/>
      <c r="GO984" s="1311"/>
      <c r="GP984" s="1311"/>
      <c r="GQ984" s="1311"/>
      <c r="GR984" s="1311"/>
      <c r="GS984" s="1311"/>
      <c r="GT984" s="1311"/>
      <c r="GU984" s="1311"/>
      <c r="GV984" s="1311"/>
      <c r="GW984" s="1311"/>
      <c r="GX984" s="1311"/>
      <c r="GY984" s="1311"/>
      <c r="GZ984" s="1311"/>
      <c r="HA984" s="1311"/>
      <c r="HB984" s="1311"/>
      <c r="HC984" s="1311"/>
      <c r="HD984" s="1311"/>
      <c r="HE984" s="1311"/>
      <c r="HF984" s="1311"/>
      <c r="HG984" s="1311"/>
      <c r="HH984" s="1311"/>
      <c r="HI984" s="1311"/>
      <c r="HJ984" s="1311"/>
      <c r="HK984" s="1311"/>
      <c r="HL984" s="1311"/>
      <c r="HM984" s="1311"/>
      <c r="HN984" s="1311"/>
      <c r="HO984" s="1311"/>
      <c r="HP984" s="1311"/>
      <c r="HQ984" s="1311"/>
      <c r="HR984" s="1311"/>
      <c r="HS984" s="1311"/>
      <c r="HT984" s="1311"/>
      <c r="HU984" s="1311"/>
      <c r="HV984" s="1311"/>
      <c r="HW984" s="1311"/>
      <c r="HX984" s="1311"/>
      <c r="HY984" s="1311"/>
      <c r="HZ984" s="1311"/>
      <c r="IA984" s="1311"/>
      <c r="IB984" s="1311"/>
      <c r="IC984" s="1311"/>
      <c r="ID984" s="1311"/>
      <c r="IE984" s="1311"/>
      <c r="IF984" s="1311"/>
      <c r="IG984" s="1311"/>
      <c r="IH984" s="1311"/>
      <c r="II984" s="1311"/>
      <c r="IJ984" s="1311"/>
      <c r="IK984" s="1311"/>
      <c r="IL984" s="1311"/>
      <c r="IM984" s="1311"/>
      <c r="IN984" s="1311"/>
      <c r="IO984" s="1311"/>
      <c r="IP984" s="1311"/>
      <c r="IQ984" s="1311"/>
      <c r="IR984" s="1311"/>
      <c r="IS984" s="1311"/>
      <c r="IT984" s="1311"/>
      <c r="IU984" s="1311"/>
      <c r="IV984" s="1311"/>
      <c r="IW984" s="1311"/>
      <c r="IX984" s="1311"/>
      <c r="IY984" s="1311"/>
      <c r="IZ984" s="1311"/>
      <c r="JA984" s="1311"/>
      <c r="JB984" s="1311"/>
      <c r="JC984" s="1311"/>
      <c r="JD984" s="1311"/>
      <c r="JE984" s="1311"/>
      <c r="JF984" s="1311"/>
      <c r="JG984" s="1311"/>
      <c r="JH984" s="1311"/>
      <c r="JI984" s="1311"/>
      <c r="JJ984" s="1311"/>
      <c r="JK984" s="1311"/>
      <c r="JL984" s="1311"/>
      <c r="JM984" s="1311"/>
      <c r="JN984" s="1311"/>
      <c r="JO984" s="1311"/>
      <c r="JP984" s="1311"/>
      <c r="JQ984" s="1311"/>
      <c r="JR984" s="1311"/>
      <c r="JS984" s="1311"/>
      <c r="JT984" s="1311"/>
      <c r="JU984" s="1311"/>
      <c r="JV984" s="1955"/>
      <c r="JW984" s="1311"/>
      <c r="JX984" s="1311"/>
      <c r="JY984" s="1311"/>
      <c r="JZ984" s="1311"/>
      <c r="KA984" s="1955"/>
      <c r="KB984" s="1955"/>
      <c r="KC984" s="1955"/>
      <c r="KD984" s="1955"/>
      <c r="KE984" s="1955"/>
      <c r="KF984" s="1955"/>
      <c r="KG984" s="1955"/>
      <c r="KH984" s="1955"/>
      <c r="KI984" s="1955"/>
      <c r="KJ984" s="1955"/>
      <c r="KK984" s="1955"/>
      <c r="KL984" s="1955"/>
      <c r="KM984" s="1955"/>
      <c r="KN984" s="1955"/>
      <c r="KO984" s="1955"/>
      <c r="KP984" s="1955"/>
      <c r="KQ984" s="1955"/>
      <c r="KR984" s="1955"/>
      <c r="KS984" s="1955"/>
      <c r="KT984" s="1955"/>
      <c r="KU984" s="1955"/>
      <c r="KV984" s="1955"/>
      <c r="KW984" s="1955"/>
      <c r="KX984" s="1955"/>
      <c r="KY984" s="1955"/>
      <c r="KZ984" s="1955"/>
      <c r="LA984" s="1955"/>
      <c r="LB984" s="1955"/>
      <c r="LC984" s="1955"/>
      <c r="LD984" s="1955"/>
      <c r="LE984" s="1955"/>
      <c r="LF984" s="1955"/>
      <c r="LG984" s="1311"/>
      <c r="LH984" s="1311"/>
      <c r="LI984" s="1311"/>
      <c r="LJ984" s="1311"/>
      <c r="LK984" s="1311"/>
      <c r="LL984" s="1311"/>
      <c r="LM984" s="1311"/>
      <c r="LN984" s="1311"/>
      <c r="LO984" s="1311"/>
      <c r="LP984" s="1311"/>
      <c r="LQ984" s="1311"/>
      <c r="LR984" s="1311"/>
      <c r="LS984" s="1311"/>
      <c r="LT984" s="1311"/>
      <c r="LU984" s="1311"/>
      <c r="LV984" s="1311"/>
      <c r="LW984" s="1311"/>
      <c r="LX984" s="1311"/>
      <c r="LY984" s="1311"/>
      <c r="LZ984" s="1311"/>
      <c r="MA984" s="1311"/>
      <c r="MB984" s="1311"/>
      <c r="MC984" s="1311"/>
      <c r="MD984" s="1311"/>
      <c r="ME984" s="1311"/>
      <c r="MF984" s="1311"/>
      <c r="MG984" s="1311"/>
      <c r="MH984" s="1311"/>
      <c r="MI984" s="1311"/>
      <c r="MJ984" s="1311"/>
      <c r="MK984" s="1311"/>
      <c r="ML984" s="1311"/>
      <c r="MM984" s="1311"/>
      <c r="MN984" s="1311"/>
      <c r="MO984" s="1311"/>
      <c r="MP984" s="1311"/>
      <c r="MQ984" s="1311"/>
      <c r="MR984" s="1311"/>
      <c r="MS984" s="1311"/>
    </row>
    <row r="985" spans="1:357">
      <c r="A985" s="1311"/>
      <c r="B985" s="1311" t="s">
        <v>1358</v>
      </c>
      <c r="C985" s="1311"/>
      <c r="D985" s="2028"/>
      <c r="E985" s="1311"/>
      <c r="F985" s="2012">
        <f>'Part VI-Revenues &amp; Expenses'!F223</f>
        <v>2500</v>
      </c>
      <c r="G985" s="2012"/>
      <c r="H985" s="1311"/>
      <c r="I985" s="1311" t="s">
        <v>2023</v>
      </c>
      <c r="J985" s="1311"/>
      <c r="K985" s="2012">
        <f>'Part VI-Revenues &amp; Expenses'!K223</f>
        <v>7500</v>
      </c>
      <c r="L985" s="2012"/>
      <c r="M985" s="1311"/>
      <c r="N985" s="2030">
        <f>+P983/(O829*0.93)/12</f>
        <v>38.882488479262669</v>
      </c>
      <c r="O985" s="1997" t="s">
        <v>2712</v>
      </c>
      <c r="P985" s="1311"/>
      <c r="Q985" s="1311"/>
      <c r="R985" s="1979">
        <f>'Part VI-Revenues &amp; Expenses'!R223</f>
        <v>0</v>
      </c>
      <c r="S985" s="1979"/>
      <c r="T985" s="1979"/>
      <c r="U985" s="1979"/>
      <c r="V985" s="1979"/>
      <c r="X985" s="1311"/>
      <c r="Y985" s="1311"/>
      <c r="Z985" s="1311"/>
      <c r="AA985" s="1311"/>
      <c r="AC985" s="1311"/>
      <c r="AD985" s="1311"/>
      <c r="AE985" s="1311"/>
      <c r="AF985" s="1311"/>
      <c r="AH985" s="1311"/>
      <c r="AI985" s="1311"/>
      <c r="AJ985" s="1311"/>
      <c r="AK985" s="1311"/>
      <c r="AM985" s="1311"/>
      <c r="AN985" s="1311"/>
      <c r="AO985" s="1311"/>
      <c r="AP985" s="1311"/>
      <c r="AQ985" s="1311"/>
      <c r="AR985" s="1311"/>
      <c r="AS985" s="1311"/>
      <c r="AT985" s="1311"/>
      <c r="AU985" s="1311"/>
      <c r="AV985" s="1311"/>
      <c r="AW985" s="1311"/>
      <c r="AX985" s="1311"/>
      <c r="AY985" s="1311"/>
      <c r="AZ985" s="1311"/>
      <c r="BA985" s="1311"/>
      <c r="BB985" s="1311"/>
      <c r="BC985" s="1311"/>
      <c r="BD985" s="1311"/>
      <c r="BE985" s="1311"/>
      <c r="BF985" s="1311"/>
      <c r="BG985" s="1311"/>
      <c r="BH985" s="1311"/>
      <c r="BI985" s="1311"/>
      <c r="BJ985" s="1311"/>
      <c r="BK985" s="1311"/>
      <c r="BL985" s="1311"/>
      <c r="BM985" s="1311"/>
      <c r="BN985" s="1311"/>
      <c r="BO985" s="1311"/>
      <c r="BP985" s="1311"/>
      <c r="BQ985" s="1311"/>
      <c r="BR985" s="1311"/>
      <c r="BS985" s="1311"/>
      <c r="BT985" s="1311"/>
      <c r="BU985" s="1311"/>
      <c r="BV985" s="1311"/>
      <c r="BW985" s="1311"/>
      <c r="BX985" s="1311"/>
      <c r="BY985" s="1311"/>
      <c r="BZ985" s="1311"/>
      <c r="CA985" s="1311"/>
      <c r="CB985" s="1311"/>
      <c r="CC985" s="1311"/>
      <c r="CD985" s="1311"/>
      <c r="CE985" s="1311"/>
      <c r="CF985" s="1311"/>
      <c r="CG985" s="1311"/>
      <c r="CH985" s="1311"/>
      <c r="CI985" s="1311"/>
      <c r="CJ985" s="1311"/>
      <c r="CK985" s="1311"/>
      <c r="CL985" s="1311"/>
      <c r="CM985" s="1311"/>
      <c r="CN985" s="1311"/>
      <c r="CO985" s="1311"/>
      <c r="CP985" s="1311"/>
      <c r="CQ985" s="1311"/>
      <c r="CR985" s="1311"/>
      <c r="CS985" s="1311"/>
      <c r="CT985" s="1311"/>
      <c r="CU985" s="1311"/>
      <c r="CV985" s="1311"/>
      <c r="CW985" s="1311"/>
      <c r="CX985" s="1311"/>
      <c r="CY985" s="1311"/>
      <c r="CZ985" s="1311"/>
      <c r="DA985" s="1311"/>
      <c r="DB985" s="1311"/>
      <c r="DC985" s="1311"/>
      <c r="DD985" s="1311"/>
      <c r="DE985" s="1311"/>
      <c r="DF985" s="1311"/>
      <c r="DG985" s="1311"/>
      <c r="DH985" s="1311"/>
      <c r="DI985" s="1311"/>
      <c r="DJ985" s="1311"/>
      <c r="DK985" s="1311"/>
      <c r="DL985" s="1311"/>
      <c r="DM985" s="1311"/>
      <c r="DN985" s="1311"/>
      <c r="DO985" s="1311"/>
      <c r="DP985" s="1311"/>
      <c r="DQ985" s="1311"/>
      <c r="DR985" s="1311"/>
      <c r="DS985" s="1311"/>
      <c r="DT985" s="1311"/>
      <c r="DU985" s="1311"/>
      <c r="DV985" s="1311"/>
      <c r="DW985" s="1311"/>
      <c r="DX985" s="1311"/>
      <c r="DY985" s="1311"/>
      <c r="DZ985" s="1311"/>
      <c r="EA985" s="1311"/>
      <c r="EB985" s="1311"/>
      <c r="EC985" s="1311"/>
      <c r="ED985" s="1311"/>
      <c r="EE985" s="1311"/>
      <c r="EF985" s="1311"/>
      <c r="EG985" s="1311"/>
      <c r="EH985" s="1311"/>
      <c r="EI985" s="1311"/>
      <c r="EJ985" s="1311"/>
      <c r="EK985" s="1311"/>
      <c r="EL985" s="1311"/>
      <c r="EM985" s="1311"/>
      <c r="EN985" s="1311"/>
      <c r="EO985" s="1311"/>
      <c r="EP985" s="1311"/>
      <c r="EQ985" s="1311"/>
      <c r="ER985" s="1311"/>
      <c r="ES985" s="1311"/>
      <c r="ET985" s="1311"/>
      <c r="EU985" s="1311"/>
      <c r="EV985" s="1311"/>
      <c r="EW985" s="1311"/>
      <c r="EX985" s="1311"/>
      <c r="EY985" s="1311"/>
      <c r="EZ985" s="1311"/>
      <c r="FA985" s="1311"/>
      <c r="FB985" s="1311"/>
      <c r="FC985" s="1311"/>
      <c r="FD985" s="1311"/>
      <c r="FE985" s="1311"/>
      <c r="FF985" s="1311"/>
      <c r="FG985" s="1311"/>
      <c r="FH985" s="1311"/>
      <c r="FI985" s="1311"/>
      <c r="FJ985" s="1311"/>
      <c r="FK985" s="1311"/>
      <c r="FL985" s="1311"/>
      <c r="FM985" s="1311"/>
      <c r="FN985" s="1311"/>
      <c r="FO985" s="1311"/>
      <c r="FP985" s="1311"/>
      <c r="FQ985" s="1311"/>
      <c r="FR985" s="1311"/>
      <c r="FS985" s="1311"/>
      <c r="FT985" s="1311"/>
      <c r="FU985" s="1311"/>
      <c r="FV985" s="1311"/>
      <c r="FW985" s="1311"/>
      <c r="FX985" s="1311"/>
      <c r="FY985" s="1311"/>
      <c r="FZ985" s="1311"/>
      <c r="GA985" s="1311"/>
      <c r="GB985" s="1311"/>
      <c r="GC985" s="1311"/>
      <c r="GD985" s="1311"/>
      <c r="GE985" s="1311"/>
      <c r="GF985" s="1311"/>
      <c r="GG985" s="1311"/>
      <c r="GH985" s="1311"/>
      <c r="GI985" s="1311"/>
      <c r="GJ985" s="1311"/>
      <c r="GK985" s="1311"/>
      <c r="GL985" s="1311"/>
      <c r="GM985" s="1311"/>
      <c r="GN985" s="1311"/>
      <c r="GO985" s="1311"/>
      <c r="GP985" s="1311"/>
      <c r="GQ985" s="1311"/>
      <c r="GR985" s="1311"/>
      <c r="GS985" s="1311"/>
      <c r="GT985" s="1311"/>
      <c r="GU985" s="1311"/>
      <c r="GV985" s="1311"/>
      <c r="GW985" s="1311"/>
      <c r="GX985" s="1311"/>
      <c r="GY985" s="1311"/>
      <c r="GZ985" s="1311"/>
      <c r="HA985" s="1311"/>
      <c r="HB985" s="1311"/>
      <c r="HC985" s="1311"/>
      <c r="HD985" s="1311"/>
      <c r="HE985" s="1311"/>
      <c r="HF985" s="1311"/>
      <c r="HG985" s="1311"/>
      <c r="HH985" s="1311"/>
      <c r="HI985" s="1311"/>
      <c r="HJ985" s="1311"/>
      <c r="HK985" s="1311"/>
      <c r="HL985" s="1311"/>
      <c r="HM985" s="1311"/>
      <c r="HN985" s="1311"/>
      <c r="HO985" s="1311"/>
      <c r="HP985" s="1311"/>
      <c r="HQ985" s="1311"/>
      <c r="HR985" s="1311"/>
      <c r="HS985" s="1311"/>
      <c r="HT985" s="1311"/>
      <c r="HU985" s="1311"/>
      <c r="HV985" s="1311"/>
      <c r="HW985" s="1311"/>
      <c r="HX985" s="1311"/>
      <c r="HY985" s="1311"/>
      <c r="HZ985" s="1311"/>
      <c r="IA985" s="1311"/>
      <c r="IB985" s="1311"/>
      <c r="IC985" s="1311"/>
      <c r="ID985" s="1311"/>
      <c r="IE985" s="1311"/>
      <c r="IF985" s="1311"/>
      <c r="IG985" s="1311"/>
      <c r="IH985" s="1311"/>
      <c r="II985" s="1311"/>
      <c r="IJ985" s="1311"/>
      <c r="IK985" s="1311"/>
      <c r="IL985" s="1311"/>
      <c r="IM985" s="1311"/>
      <c r="IN985" s="1311"/>
      <c r="IO985" s="1311"/>
      <c r="IP985" s="1311"/>
      <c r="IQ985" s="1311"/>
      <c r="IR985" s="1311"/>
      <c r="IS985" s="1311"/>
      <c r="IT985" s="1311"/>
      <c r="IU985" s="1311"/>
      <c r="IV985" s="1311"/>
      <c r="IW985" s="1311"/>
      <c r="IX985" s="1311"/>
      <c r="IY985" s="1311"/>
      <c r="IZ985" s="1311"/>
      <c r="JA985" s="1311"/>
      <c r="JB985" s="1311"/>
      <c r="JC985" s="1311"/>
      <c r="JD985" s="1311"/>
      <c r="JE985" s="1311"/>
      <c r="JF985" s="1311"/>
      <c r="JG985" s="1311"/>
      <c r="JH985" s="1311"/>
      <c r="JI985" s="1311"/>
      <c r="JJ985" s="1311"/>
      <c r="JK985" s="1311"/>
      <c r="JL985" s="1311"/>
      <c r="JM985" s="1311"/>
      <c r="JN985" s="1311"/>
      <c r="JO985" s="1311"/>
      <c r="JP985" s="1311"/>
      <c r="JQ985" s="1311"/>
      <c r="JR985" s="1311"/>
      <c r="JS985" s="1311"/>
      <c r="JT985" s="1311"/>
      <c r="JU985" s="1311"/>
      <c r="JV985" s="1955"/>
      <c r="JW985" s="1311"/>
      <c r="JX985" s="1311"/>
      <c r="JY985" s="1311"/>
      <c r="JZ985" s="1311"/>
      <c r="KA985" s="1955"/>
      <c r="KB985" s="1955"/>
      <c r="KC985" s="1955"/>
      <c r="KD985" s="1955"/>
      <c r="KE985" s="1955"/>
      <c r="KF985" s="1955"/>
      <c r="KG985" s="1955"/>
      <c r="KH985" s="1955"/>
      <c r="KI985" s="1955"/>
      <c r="KJ985" s="1955"/>
      <c r="KK985" s="1955"/>
      <c r="KL985" s="1955"/>
      <c r="KM985" s="1955"/>
      <c r="KN985" s="1955"/>
      <c r="KO985" s="1955"/>
      <c r="KP985" s="1955"/>
      <c r="KQ985" s="1955"/>
      <c r="KR985" s="1955"/>
      <c r="KS985" s="1955"/>
      <c r="KT985" s="1955"/>
      <c r="KU985" s="1955"/>
      <c r="KV985" s="1955"/>
      <c r="KW985" s="1955"/>
      <c r="KX985" s="1955"/>
      <c r="KY985" s="1955"/>
      <c r="KZ985" s="1955"/>
      <c r="LA985" s="1955"/>
      <c r="LB985" s="1955"/>
      <c r="LC985" s="1955"/>
      <c r="LD985" s="1955"/>
      <c r="LE985" s="1955"/>
      <c r="LF985" s="1955"/>
      <c r="LG985" s="1311"/>
      <c r="LH985" s="1311"/>
      <c r="LI985" s="1311"/>
      <c r="LJ985" s="1311"/>
      <c r="LK985" s="1311"/>
      <c r="LL985" s="1311"/>
      <c r="LM985" s="1311"/>
      <c r="LN985" s="1311"/>
      <c r="LO985" s="1311"/>
      <c r="LP985" s="1311"/>
      <c r="LQ985" s="1311"/>
      <c r="LR985" s="1311"/>
      <c r="LS985" s="1311"/>
      <c r="LT985" s="1311"/>
      <c r="LU985" s="1311"/>
      <c r="LV985" s="1311"/>
      <c r="LW985" s="1311"/>
      <c r="LX985" s="1311"/>
      <c r="LY985" s="1311"/>
      <c r="LZ985" s="1311"/>
      <c r="MA985" s="1311"/>
      <c r="MB985" s="1311"/>
      <c r="MC985" s="1311"/>
      <c r="MD985" s="1311"/>
      <c r="ME985" s="1311"/>
      <c r="MF985" s="1311"/>
      <c r="MG985" s="1311"/>
      <c r="MH985" s="1311"/>
      <c r="MI985" s="1311"/>
      <c r="MJ985" s="1311"/>
      <c r="MK985" s="1311"/>
      <c r="ML985" s="1311"/>
      <c r="MM985" s="1311"/>
      <c r="MN985" s="1311"/>
      <c r="MO985" s="1311"/>
      <c r="MP985" s="1311"/>
      <c r="MQ985" s="1311"/>
      <c r="MR985" s="1311"/>
      <c r="MS985" s="1311"/>
    </row>
    <row r="986" spans="1:357">
      <c r="A986" s="1311"/>
      <c r="B986" s="1311" t="s">
        <v>1359</v>
      </c>
      <c r="C986" s="1311"/>
      <c r="D986" s="2028"/>
      <c r="E986" s="1311"/>
      <c r="F986" s="2012">
        <f>'Part VI-Revenues &amp; Expenses'!F224</f>
        <v>1200</v>
      </c>
      <c r="G986" s="2012"/>
      <c r="H986" s="1311"/>
      <c r="I986" s="1311" t="s">
        <v>1584</v>
      </c>
      <c r="J986" s="1311"/>
      <c r="K986" s="2012">
        <f>'Part VI-Revenues &amp; Expenses'!K224</f>
        <v>7500</v>
      </c>
      <c r="L986" s="2012"/>
      <c r="M986" s="1311"/>
      <c r="N986" s="457" t="s">
        <v>3624</v>
      </c>
      <c r="O986" s="2031"/>
      <c r="P986" s="2031"/>
      <c r="Q986" s="1994"/>
      <c r="R986" s="1979">
        <f>'Part VI-Revenues &amp; Expenses'!R224</f>
        <v>0</v>
      </c>
      <c r="S986" s="1979"/>
      <c r="T986" s="1979"/>
      <c r="U986" s="1979"/>
      <c r="V986" s="1979"/>
      <c r="X986" s="1311"/>
      <c r="Y986" s="1311"/>
      <c r="Z986" s="1311"/>
      <c r="AA986" s="1311"/>
      <c r="AC986" s="1311"/>
      <c r="AD986" s="1311"/>
      <c r="AE986" s="1311"/>
      <c r="AF986" s="1311"/>
      <c r="AH986" s="1311"/>
      <c r="AI986" s="1311"/>
      <c r="AJ986" s="1311"/>
      <c r="AK986" s="1311"/>
      <c r="AM986" s="1311"/>
      <c r="AN986" s="1311"/>
      <c r="AO986" s="1311"/>
      <c r="AP986" s="1311"/>
      <c r="AQ986" s="1311"/>
      <c r="AR986" s="1311"/>
      <c r="AS986" s="1311"/>
      <c r="AT986" s="1311"/>
      <c r="AU986" s="1311"/>
      <c r="AV986" s="1311"/>
      <c r="AW986" s="1311"/>
      <c r="AX986" s="1311"/>
      <c r="AY986" s="1311"/>
      <c r="AZ986" s="1311"/>
      <c r="BA986" s="1311"/>
      <c r="BB986" s="1311"/>
      <c r="BC986" s="1311"/>
      <c r="BD986" s="1311"/>
      <c r="BE986" s="1311"/>
      <c r="BF986" s="1311"/>
      <c r="BG986" s="1311"/>
      <c r="BH986" s="1311"/>
      <c r="BI986" s="1311"/>
      <c r="BJ986" s="1311"/>
      <c r="BK986" s="1311"/>
      <c r="BL986" s="1311"/>
      <c r="BM986" s="1311"/>
      <c r="BN986" s="1311"/>
      <c r="BO986" s="1311"/>
      <c r="BP986" s="1311"/>
      <c r="BQ986" s="1311"/>
      <c r="BR986" s="1311"/>
      <c r="BS986" s="1311"/>
      <c r="BT986" s="1311"/>
      <c r="BU986" s="1311"/>
      <c r="BV986" s="1311"/>
      <c r="BW986" s="1311"/>
      <c r="BX986" s="1311"/>
      <c r="BY986" s="1311"/>
      <c r="BZ986" s="1311"/>
      <c r="CA986" s="1311"/>
      <c r="CB986" s="1311"/>
      <c r="CC986" s="1311"/>
      <c r="CD986" s="1311"/>
      <c r="CE986" s="1311"/>
      <c r="CF986" s="1311"/>
      <c r="CG986" s="1311"/>
      <c r="CH986" s="1311"/>
      <c r="CI986" s="1311"/>
      <c r="CJ986" s="1311"/>
      <c r="CK986" s="1311"/>
      <c r="CL986" s="1311"/>
      <c r="CM986" s="1311"/>
      <c r="CN986" s="1311"/>
      <c r="CO986" s="1311"/>
      <c r="CP986" s="1311"/>
      <c r="CQ986" s="1311"/>
      <c r="CR986" s="1311"/>
      <c r="CS986" s="1311"/>
      <c r="CT986" s="1311"/>
      <c r="CU986" s="1311"/>
      <c r="CV986" s="1311"/>
      <c r="CW986" s="1311"/>
      <c r="CX986" s="1311"/>
      <c r="CY986" s="1311"/>
      <c r="CZ986" s="1311"/>
      <c r="DA986" s="1311"/>
      <c r="DB986" s="1311"/>
      <c r="DC986" s="1311"/>
      <c r="DD986" s="1311"/>
      <c r="DE986" s="1311"/>
      <c r="DF986" s="1311"/>
      <c r="DG986" s="1311"/>
      <c r="DH986" s="1311"/>
      <c r="DI986" s="1311"/>
      <c r="DJ986" s="1311"/>
      <c r="DK986" s="1311"/>
      <c r="DL986" s="1311"/>
      <c r="DM986" s="1311"/>
      <c r="DN986" s="1311"/>
      <c r="DO986" s="1311"/>
      <c r="DP986" s="1311"/>
      <c r="DQ986" s="1311"/>
      <c r="DR986" s="1311"/>
      <c r="DS986" s="1311"/>
      <c r="DT986" s="1311"/>
      <c r="DU986" s="1311"/>
      <c r="DV986" s="1311"/>
      <c r="DW986" s="1311"/>
      <c r="DX986" s="1311"/>
      <c r="DY986" s="1311"/>
      <c r="DZ986" s="1311"/>
      <c r="EA986" s="1311"/>
      <c r="EB986" s="1311"/>
      <c r="EC986" s="1311"/>
      <c r="ED986" s="1311"/>
      <c r="EE986" s="1311"/>
      <c r="EF986" s="1311"/>
      <c r="EG986" s="1311"/>
      <c r="EH986" s="1311"/>
      <c r="EI986" s="1311"/>
      <c r="EJ986" s="1311"/>
      <c r="EK986" s="1311"/>
      <c r="EL986" s="1311"/>
      <c r="EM986" s="1311"/>
      <c r="EN986" s="1311"/>
      <c r="EO986" s="1311"/>
      <c r="EP986" s="1311"/>
      <c r="EQ986" s="1311"/>
      <c r="ER986" s="1311"/>
      <c r="ES986" s="1311"/>
      <c r="ET986" s="1311"/>
      <c r="EU986" s="1311"/>
      <c r="EV986" s="1311"/>
      <c r="EW986" s="1311"/>
      <c r="EX986" s="1311"/>
      <c r="EY986" s="1311"/>
      <c r="EZ986" s="1311"/>
      <c r="FA986" s="1311"/>
      <c r="FB986" s="1311"/>
      <c r="FC986" s="1311"/>
      <c r="FD986" s="1311"/>
      <c r="FE986" s="1311"/>
      <c r="FF986" s="1311"/>
      <c r="FG986" s="1311"/>
      <c r="FH986" s="1311"/>
      <c r="FI986" s="1311"/>
      <c r="FJ986" s="1311"/>
      <c r="FK986" s="1311"/>
      <c r="FL986" s="1311"/>
      <c r="FM986" s="1311"/>
      <c r="FN986" s="1311"/>
      <c r="FO986" s="1311"/>
      <c r="FP986" s="1311"/>
      <c r="FQ986" s="1311"/>
      <c r="FR986" s="1311"/>
      <c r="FS986" s="1311"/>
      <c r="FT986" s="1311"/>
      <c r="FU986" s="1311"/>
      <c r="FV986" s="1311"/>
      <c r="FW986" s="1311"/>
      <c r="FX986" s="1311"/>
      <c r="FY986" s="1311"/>
      <c r="FZ986" s="1311"/>
      <c r="GA986" s="1311"/>
      <c r="GB986" s="1311"/>
      <c r="GC986" s="1311"/>
      <c r="GD986" s="1311"/>
      <c r="GE986" s="1311"/>
      <c r="GF986" s="1311"/>
      <c r="GG986" s="1311"/>
      <c r="GH986" s="1311"/>
      <c r="GI986" s="1311"/>
      <c r="GJ986" s="1311"/>
      <c r="GK986" s="1311"/>
      <c r="GL986" s="1311"/>
      <c r="GM986" s="1311"/>
      <c r="GN986" s="1311"/>
      <c r="GO986" s="1311"/>
      <c r="GP986" s="1311"/>
      <c r="GQ986" s="1311"/>
      <c r="GR986" s="1311"/>
      <c r="GS986" s="1311"/>
      <c r="GT986" s="1311"/>
      <c r="GU986" s="1311"/>
      <c r="GV986" s="1311"/>
      <c r="GW986" s="1311"/>
      <c r="GX986" s="1311"/>
      <c r="GY986" s="1311"/>
      <c r="GZ986" s="1311"/>
      <c r="HA986" s="1311"/>
      <c r="HB986" s="1311"/>
      <c r="HC986" s="1311"/>
      <c r="HD986" s="1311"/>
      <c r="HE986" s="1311"/>
      <c r="HF986" s="1311"/>
      <c r="HG986" s="1311"/>
      <c r="HH986" s="1311"/>
      <c r="HI986" s="1311"/>
      <c r="HJ986" s="1311"/>
      <c r="HK986" s="1311"/>
      <c r="HL986" s="1311"/>
      <c r="HM986" s="1311"/>
      <c r="HN986" s="1311"/>
      <c r="HO986" s="1311"/>
      <c r="HP986" s="1311"/>
      <c r="HQ986" s="1311"/>
      <c r="HR986" s="1311"/>
      <c r="HS986" s="1311"/>
      <c r="HT986" s="1311"/>
      <c r="HU986" s="1311"/>
      <c r="HV986" s="1311"/>
      <c r="HW986" s="1311"/>
      <c r="HX986" s="1311"/>
      <c r="HY986" s="1311"/>
      <c r="HZ986" s="1311"/>
      <c r="IA986" s="1311"/>
      <c r="IB986" s="1311"/>
      <c r="IC986" s="1311"/>
      <c r="ID986" s="1311"/>
      <c r="IE986" s="1311"/>
      <c r="IF986" s="1311"/>
      <c r="IG986" s="1311"/>
      <c r="IH986" s="1311"/>
      <c r="II986" s="1311"/>
      <c r="IJ986" s="1311"/>
      <c r="IK986" s="1311"/>
      <c r="IL986" s="1311"/>
      <c r="IM986" s="1311"/>
      <c r="IN986" s="1311"/>
      <c r="IO986" s="1311"/>
      <c r="IP986" s="1311"/>
      <c r="IQ986" s="1311"/>
      <c r="IR986" s="1311"/>
      <c r="IS986" s="1311"/>
      <c r="IT986" s="1311"/>
      <c r="IU986" s="1311"/>
      <c r="IV986" s="1311"/>
      <c r="IW986" s="1311"/>
      <c r="IX986" s="1311"/>
      <c r="IY986" s="1311"/>
      <c r="IZ986" s="1311"/>
      <c r="JA986" s="1311"/>
      <c r="JB986" s="1311"/>
      <c r="JC986" s="1311"/>
      <c r="JD986" s="1311"/>
      <c r="JE986" s="1311"/>
      <c r="JF986" s="1311"/>
      <c r="JG986" s="1311"/>
      <c r="JH986" s="1311"/>
      <c r="JI986" s="1311"/>
      <c r="JJ986" s="1311"/>
      <c r="JK986" s="1311"/>
      <c r="JL986" s="1311"/>
      <c r="JM986" s="1311"/>
      <c r="JN986" s="1311"/>
      <c r="JO986" s="1311"/>
      <c r="JP986" s="1311"/>
      <c r="JQ986" s="1311"/>
      <c r="JR986" s="1311"/>
      <c r="JS986" s="1311"/>
      <c r="JT986" s="1311"/>
      <c r="JU986" s="1311"/>
      <c r="JV986" s="1955"/>
      <c r="JW986" s="1311"/>
      <c r="JX986" s="1311"/>
      <c r="JY986" s="1311"/>
      <c r="JZ986" s="1311"/>
      <c r="KA986" s="1955"/>
      <c r="KB986" s="1955"/>
      <c r="KC986" s="1955"/>
      <c r="KD986" s="1955"/>
      <c r="KE986" s="1955"/>
      <c r="KF986" s="1955"/>
      <c r="KG986" s="1955"/>
      <c r="KH986" s="1955"/>
      <c r="KI986" s="1955"/>
      <c r="KJ986" s="1955"/>
      <c r="KK986" s="1955"/>
      <c r="KL986" s="1955"/>
      <c r="KM986" s="1955"/>
      <c r="KN986" s="1955"/>
      <c r="KO986" s="1955"/>
      <c r="KP986" s="1955"/>
      <c r="KQ986" s="1955"/>
      <c r="KR986" s="1955"/>
      <c r="KS986" s="1955"/>
      <c r="KT986" s="1955"/>
      <c r="KU986" s="1955"/>
      <c r="KV986" s="1955"/>
      <c r="KW986" s="1955"/>
      <c r="KX986" s="1955"/>
      <c r="KY986" s="1955"/>
      <c r="KZ986" s="1955"/>
      <c r="LA986" s="1955"/>
      <c r="LB986" s="1955"/>
      <c r="LC986" s="1955"/>
      <c r="LD986" s="1955"/>
      <c r="LE986" s="1955"/>
      <c r="LF986" s="1955"/>
      <c r="LG986" s="1311"/>
      <c r="LH986" s="1311"/>
      <c r="LI986" s="1311"/>
      <c r="LJ986" s="1311"/>
      <c r="LK986" s="1311"/>
      <c r="LL986" s="1311"/>
      <c r="LM986" s="1311"/>
      <c r="LN986" s="1311"/>
      <c r="LO986" s="1311"/>
      <c r="LP986" s="1311"/>
      <c r="LQ986" s="1311"/>
      <c r="LR986" s="1311"/>
      <c r="LS986" s="1311"/>
      <c r="LT986" s="1311"/>
      <c r="LU986" s="1311"/>
      <c r="LV986" s="1311"/>
      <c r="LW986" s="1311"/>
      <c r="LX986" s="1311"/>
      <c r="LY986" s="1311"/>
      <c r="LZ986" s="1311"/>
      <c r="MA986" s="1311"/>
      <c r="MB986" s="1311"/>
      <c r="MC986" s="1311"/>
      <c r="MD986" s="1311"/>
      <c r="ME986" s="1311"/>
      <c r="MF986" s="1311"/>
      <c r="MG986" s="1311"/>
      <c r="MH986" s="1311"/>
      <c r="MI986" s="1311"/>
      <c r="MJ986" s="1311"/>
      <c r="MK986" s="1311"/>
      <c r="ML986" s="1311"/>
      <c r="MM986" s="1311"/>
      <c r="MN986" s="1311"/>
      <c r="MO986" s="1311"/>
      <c r="MP986" s="1311"/>
      <c r="MQ986" s="1311"/>
      <c r="MR986" s="1311"/>
      <c r="MS986" s="1311"/>
    </row>
    <row r="987" spans="1:357" ht="13.5" customHeight="1">
      <c r="A987" s="1311"/>
      <c r="B987" s="1311" t="s">
        <v>2312</v>
      </c>
      <c r="C987" s="1311"/>
      <c r="D987" s="2028"/>
      <c r="E987" s="1311"/>
      <c r="F987" s="2012">
        <f>'Part VI-Revenues &amp; Expenses'!F225</f>
        <v>1500</v>
      </c>
      <c r="G987" s="2012"/>
      <c r="H987" s="1311"/>
      <c r="I987" s="2027" t="str">
        <f>'Part VI-Revenues &amp; Expenses'!I225</f>
        <v>Other (describe here)</v>
      </c>
      <c r="J987" s="2027"/>
      <c r="K987" s="2012">
        <f>'Part VI-Revenues &amp; Expenses'!K225</f>
        <v>0</v>
      </c>
      <c r="L987" s="2012"/>
      <c r="M987" s="1311"/>
      <c r="N987" s="2031"/>
      <c r="O987" s="2031"/>
      <c r="P987" s="2031"/>
      <c r="Q987" s="1994"/>
      <c r="R987" s="1979">
        <f>'Part VI-Revenues &amp; Expenses'!R225</f>
        <v>0</v>
      </c>
      <c r="S987" s="1979"/>
      <c r="T987" s="1979"/>
      <c r="U987" s="1979"/>
      <c r="V987" s="1979"/>
      <c r="X987" s="1311"/>
      <c r="Y987" s="1311"/>
      <c r="Z987" s="1311"/>
      <c r="AA987" s="1311"/>
      <c r="AC987" s="1311"/>
      <c r="AD987" s="1311"/>
      <c r="AE987" s="1311"/>
      <c r="AF987" s="1311"/>
      <c r="AH987" s="1311"/>
      <c r="AI987" s="1311"/>
      <c r="AJ987" s="1311"/>
      <c r="AK987" s="1311"/>
      <c r="AM987" s="1311"/>
      <c r="AN987" s="1311"/>
      <c r="AO987" s="1311"/>
      <c r="AP987" s="1311"/>
      <c r="AQ987" s="1311"/>
      <c r="AR987" s="1311"/>
      <c r="AS987" s="1311"/>
      <c r="AT987" s="1311"/>
      <c r="AU987" s="1311"/>
      <c r="AV987" s="1311"/>
      <c r="AW987" s="1311"/>
      <c r="AX987" s="1311"/>
      <c r="AY987" s="1311"/>
      <c r="AZ987" s="1311"/>
      <c r="BA987" s="1311"/>
      <c r="BB987" s="1311"/>
      <c r="BC987" s="1311"/>
      <c r="BD987" s="1311"/>
      <c r="BE987" s="1311"/>
      <c r="BF987" s="1311"/>
      <c r="BG987" s="1311"/>
      <c r="BH987" s="1311"/>
      <c r="BI987" s="1311"/>
      <c r="BJ987" s="1311"/>
      <c r="BK987" s="1311"/>
      <c r="BL987" s="1311"/>
      <c r="BM987" s="1311"/>
      <c r="BN987" s="1311"/>
      <c r="BO987" s="1311"/>
      <c r="BP987" s="1311"/>
      <c r="BQ987" s="1311"/>
      <c r="BR987" s="1311"/>
      <c r="BS987" s="1311"/>
      <c r="BT987" s="1311"/>
      <c r="BU987" s="1311"/>
      <c r="BV987" s="1311"/>
      <c r="BW987" s="1311"/>
      <c r="BX987" s="1311"/>
      <c r="BY987" s="1311"/>
      <c r="BZ987" s="1311"/>
      <c r="CA987" s="1311"/>
      <c r="CB987" s="1311"/>
      <c r="CC987" s="1311"/>
      <c r="CD987" s="1311"/>
      <c r="CE987" s="1311"/>
      <c r="CF987" s="1311"/>
      <c r="CG987" s="1311"/>
      <c r="CH987" s="1311"/>
      <c r="CI987" s="1311"/>
      <c r="CJ987" s="1311"/>
      <c r="CK987" s="1311"/>
      <c r="CL987" s="1311"/>
      <c r="CM987" s="1311"/>
      <c r="CN987" s="1311"/>
      <c r="CO987" s="1311"/>
      <c r="CP987" s="1311"/>
      <c r="CQ987" s="1311"/>
      <c r="CR987" s="1311"/>
      <c r="CS987" s="1311"/>
      <c r="CT987" s="1311"/>
      <c r="CU987" s="1311"/>
      <c r="CV987" s="1311"/>
      <c r="CW987" s="1311"/>
      <c r="CX987" s="1311"/>
      <c r="CY987" s="1311"/>
      <c r="CZ987" s="1311"/>
      <c r="DA987" s="1311"/>
      <c r="DB987" s="1311"/>
      <c r="DC987" s="1311"/>
      <c r="DD987" s="1311"/>
      <c r="DE987" s="1311"/>
      <c r="DF987" s="1311"/>
      <c r="DG987" s="1311"/>
      <c r="DH987" s="1311"/>
      <c r="DI987" s="1311"/>
      <c r="DJ987" s="1311"/>
      <c r="DK987" s="1311"/>
      <c r="DL987" s="1311"/>
      <c r="DM987" s="1311"/>
      <c r="DN987" s="1311"/>
      <c r="DO987" s="1311"/>
      <c r="DP987" s="1311"/>
      <c r="DQ987" s="1311"/>
      <c r="DR987" s="1311"/>
      <c r="DS987" s="1311"/>
      <c r="DT987" s="1311"/>
      <c r="DU987" s="1311"/>
      <c r="DV987" s="1311"/>
      <c r="DW987" s="1311"/>
      <c r="DX987" s="1311"/>
      <c r="DY987" s="1311"/>
      <c r="DZ987" s="1311"/>
      <c r="EA987" s="1311"/>
      <c r="EB987" s="1311"/>
      <c r="EC987" s="1311"/>
      <c r="ED987" s="1311"/>
      <c r="EE987" s="1311"/>
      <c r="EF987" s="1311"/>
      <c r="EG987" s="1311"/>
      <c r="EH987" s="1311"/>
      <c r="EI987" s="1311"/>
      <c r="EJ987" s="1311"/>
      <c r="EK987" s="1311"/>
      <c r="EL987" s="1311"/>
      <c r="EM987" s="1311"/>
      <c r="EN987" s="1311"/>
      <c r="EO987" s="1311"/>
      <c r="EP987" s="1311"/>
      <c r="EQ987" s="1311"/>
      <c r="ER987" s="1311"/>
      <c r="ES987" s="1311"/>
      <c r="ET987" s="1311"/>
      <c r="EU987" s="1311"/>
      <c r="EV987" s="1311"/>
      <c r="EW987" s="1311"/>
      <c r="EX987" s="1311"/>
      <c r="EY987" s="1311"/>
      <c r="EZ987" s="1311"/>
      <c r="FA987" s="1311"/>
      <c r="FB987" s="1311"/>
      <c r="FC987" s="1311"/>
      <c r="FD987" s="1311"/>
      <c r="FE987" s="1311"/>
      <c r="FF987" s="1311"/>
      <c r="FG987" s="1311"/>
      <c r="FH987" s="1311"/>
      <c r="FI987" s="1311"/>
      <c r="FJ987" s="1311"/>
      <c r="FK987" s="1311"/>
      <c r="FL987" s="1311"/>
      <c r="FM987" s="1311"/>
      <c r="FN987" s="1311"/>
      <c r="FO987" s="1311"/>
      <c r="FP987" s="1311"/>
      <c r="FQ987" s="1311"/>
      <c r="FR987" s="1311"/>
      <c r="FS987" s="1311"/>
      <c r="FT987" s="1311"/>
      <c r="FU987" s="1311"/>
      <c r="FV987" s="1311"/>
      <c r="FW987" s="1311"/>
      <c r="FX987" s="1311"/>
      <c r="FY987" s="1311"/>
      <c r="FZ987" s="1311"/>
      <c r="GA987" s="1311"/>
      <c r="GB987" s="1311"/>
      <c r="GC987" s="1311"/>
      <c r="GD987" s="1311"/>
      <c r="GE987" s="1311"/>
      <c r="GF987" s="1311"/>
      <c r="GG987" s="1311"/>
      <c r="GH987" s="1311"/>
      <c r="GI987" s="1311"/>
      <c r="GJ987" s="1311"/>
      <c r="GK987" s="1311"/>
      <c r="GL987" s="1311"/>
      <c r="GM987" s="1311"/>
      <c r="GN987" s="1311"/>
      <c r="GO987" s="1311"/>
      <c r="GP987" s="1311"/>
      <c r="GQ987" s="1311"/>
      <c r="GR987" s="1311"/>
      <c r="GS987" s="1311"/>
      <c r="GT987" s="1311"/>
      <c r="GU987" s="1311"/>
      <c r="GV987" s="1311"/>
      <c r="GW987" s="1311"/>
      <c r="GX987" s="1311"/>
      <c r="GY987" s="1311"/>
      <c r="GZ987" s="1311"/>
      <c r="HA987" s="1311"/>
      <c r="HB987" s="1311"/>
      <c r="HC987" s="1311"/>
      <c r="HD987" s="1311"/>
      <c r="HE987" s="1311"/>
      <c r="HF987" s="1311"/>
      <c r="HG987" s="1311"/>
      <c r="HH987" s="1311"/>
      <c r="HI987" s="1311"/>
      <c r="HJ987" s="1311"/>
      <c r="HK987" s="1311"/>
      <c r="HL987" s="1311"/>
      <c r="HM987" s="1311"/>
      <c r="HN987" s="1311"/>
      <c r="HO987" s="1311"/>
      <c r="HP987" s="1311"/>
      <c r="HQ987" s="1311"/>
      <c r="HR987" s="1311"/>
      <c r="HS987" s="1311"/>
      <c r="HT987" s="1311"/>
      <c r="HU987" s="1311"/>
      <c r="HV987" s="1311"/>
      <c r="HW987" s="1311"/>
      <c r="HX987" s="1311"/>
      <c r="HY987" s="1311"/>
      <c r="HZ987" s="1311"/>
      <c r="IA987" s="1311"/>
      <c r="IB987" s="1311"/>
      <c r="IC987" s="1311"/>
      <c r="ID987" s="1311"/>
      <c r="IE987" s="1311"/>
      <c r="IF987" s="1311"/>
      <c r="IG987" s="1311"/>
      <c r="IH987" s="1311"/>
      <c r="II987" s="1311"/>
      <c r="IJ987" s="1311"/>
      <c r="IK987" s="1311"/>
      <c r="IL987" s="1311"/>
      <c r="IM987" s="1311"/>
      <c r="IN987" s="1311"/>
      <c r="IO987" s="1311"/>
      <c r="IP987" s="1311"/>
      <c r="IQ987" s="1311"/>
      <c r="IR987" s="1311"/>
      <c r="IS987" s="1311"/>
      <c r="IT987" s="1311"/>
      <c r="IU987" s="1311"/>
      <c r="IV987" s="1311"/>
      <c r="IW987" s="1311"/>
      <c r="IX987" s="1311"/>
      <c r="IY987" s="1311"/>
      <c r="IZ987" s="1311"/>
      <c r="JA987" s="1311"/>
      <c r="JB987" s="1311"/>
      <c r="JC987" s="1311"/>
      <c r="JD987" s="1311"/>
      <c r="JE987" s="1311"/>
      <c r="JF987" s="1311"/>
      <c r="JG987" s="1311"/>
      <c r="JH987" s="1311"/>
      <c r="JI987" s="1311"/>
      <c r="JJ987" s="1311"/>
      <c r="JK987" s="1311"/>
      <c r="JL987" s="1311"/>
      <c r="JM987" s="1311"/>
      <c r="JN987" s="1311"/>
      <c r="JO987" s="1311"/>
      <c r="JP987" s="1311"/>
      <c r="JQ987" s="1311"/>
      <c r="JR987" s="1311"/>
      <c r="JS987" s="1311"/>
      <c r="JT987" s="1311"/>
      <c r="JU987" s="1311"/>
      <c r="JV987" s="1955"/>
      <c r="JW987" s="1311"/>
      <c r="JX987" s="1311"/>
      <c r="JY987" s="1311"/>
      <c r="JZ987" s="1311"/>
      <c r="KA987" s="1955"/>
      <c r="KB987" s="1955"/>
      <c r="KC987" s="1955"/>
      <c r="KD987" s="1955"/>
      <c r="KE987" s="1955"/>
      <c r="KF987" s="1955"/>
      <c r="KG987" s="1955"/>
      <c r="KH987" s="1955"/>
      <c r="KI987" s="1955"/>
      <c r="KJ987" s="1955"/>
      <c r="KK987" s="1955"/>
      <c r="KL987" s="1955"/>
      <c r="KM987" s="1955"/>
      <c r="KN987" s="1955"/>
      <c r="KO987" s="1955"/>
      <c r="KP987" s="1955"/>
      <c r="KQ987" s="1955"/>
      <c r="KR987" s="1955"/>
      <c r="KS987" s="1955"/>
      <c r="KT987" s="1955"/>
      <c r="KU987" s="1955"/>
      <c r="KV987" s="1955"/>
      <c r="KW987" s="1955"/>
      <c r="KX987" s="1955"/>
      <c r="KY987" s="1955"/>
      <c r="KZ987" s="1955"/>
      <c r="LA987" s="1955"/>
      <c r="LB987" s="1955"/>
      <c r="LC987" s="1955"/>
      <c r="LD987" s="1955"/>
      <c r="LE987" s="1955"/>
      <c r="LF987" s="1955"/>
      <c r="LG987" s="1311"/>
      <c r="LH987" s="1311"/>
      <c r="LI987" s="1311"/>
      <c r="LJ987" s="1311"/>
      <c r="LK987" s="1311"/>
      <c r="LL987" s="1311"/>
      <c r="LM987" s="1311"/>
      <c r="LN987" s="1311"/>
      <c r="LO987" s="1311"/>
      <c r="LP987" s="1311"/>
      <c r="LQ987" s="1311"/>
      <c r="LR987" s="1311"/>
      <c r="LS987" s="1311"/>
      <c r="LT987" s="1311"/>
      <c r="LU987" s="1311"/>
      <c r="LV987" s="1311"/>
      <c r="LW987" s="1311"/>
      <c r="LX987" s="1311"/>
      <c r="LY987" s="1311"/>
      <c r="LZ987" s="1311"/>
      <c r="MA987" s="1311"/>
      <c r="MB987" s="1311"/>
      <c r="MC987" s="1311"/>
      <c r="MD987" s="1311"/>
      <c r="ME987" s="1311"/>
      <c r="MF987" s="1311"/>
      <c r="MG987" s="1311"/>
      <c r="MH987" s="1311"/>
      <c r="MI987" s="1311"/>
      <c r="MJ987" s="1311"/>
      <c r="MK987" s="1311"/>
      <c r="ML987" s="1311"/>
      <c r="MM987" s="1311"/>
      <c r="MN987" s="1311"/>
      <c r="MO987" s="1311"/>
      <c r="MP987" s="1311"/>
      <c r="MQ987" s="1311"/>
      <c r="MR987" s="1311"/>
      <c r="MS987" s="1311"/>
    </row>
    <row r="988" spans="1:357">
      <c r="A988" s="1311"/>
      <c r="B988" s="1311" t="s">
        <v>1581</v>
      </c>
      <c r="C988" s="1311"/>
      <c r="D988" s="2028"/>
      <c r="E988" s="1311"/>
      <c r="F988" s="2012">
        <f>'Part VI-Revenues &amp; Expenses'!F226</f>
        <v>1200</v>
      </c>
      <c r="G988" s="2012"/>
      <c r="H988" s="1311"/>
      <c r="I988" s="1311"/>
      <c r="J988" s="2026" t="s">
        <v>189</v>
      </c>
      <c r="K988" s="2013">
        <f>SUM(K984:K987)</f>
        <v>20500</v>
      </c>
      <c r="L988" s="2013"/>
      <c r="M988" s="2005" t="str">
        <f>IF(P990="","",IF(P988&lt;P990, "WARNING! OE below required minimum.",""))</f>
        <v/>
      </c>
      <c r="N988" s="1311" t="s">
        <v>2159</v>
      </c>
      <c r="O988" s="1311"/>
      <c r="P988" s="2013">
        <f>F981+F990+F1001+K979+K988+K998+P980+P983</f>
        <v>456174</v>
      </c>
      <c r="Q988" s="1311"/>
      <c r="R988" s="1979">
        <f>'Part VI-Revenues &amp; Expenses'!R226</f>
        <v>0</v>
      </c>
      <c r="S988" s="1979"/>
      <c r="T988" s="1979"/>
      <c r="U988" s="1979"/>
      <c r="V988" s="1979"/>
      <c r="X988" s="1311"/>
      <c r="Y988" s="1311"/>
      <c r="Z988" s="1311"/>
      <c r="AA988" s="1311"/>
      <c r="AC988" s="1311"/>
      <c r="AD988" s="1311"/>
      <c r="AE988" s="1311"/>
      <c r="AF988" s="1311"/>
      <c r="AH988" s="1311"/>
      <c r="AI988" s="1311"/>
      <c r="AJ988" s="1311"/>
      <c r="AK988" s="1311"/>
      <c r="AM988" s="1311"/>
      <c r="AN988" s="1311"/>
      <c r="AO988" s="1311"/>
      <c r="AP988" s="1311"/>
      <c r="AQ988" s="1311"/>
      <c r="AR988" s="1311"/>
      <c r="AS988" s="1311"/>
      <c r="AT988" s="1311"/>
      <c r="AU988" s="1311"/>
      <c r="AV988" s="1311"/>
      <c r="AW988" s="1311"/>
      <c r="AX988" s="1311"/>
      <c r="AY988" s="1311"/>
      <c r="AZ988" s="1311"/>
      <c r="BA988" s="1311"/>
      <c r="BB988" s="1311"/>
      <c r="BC988" s="1311"/>
      <c r="BD988" s="1311"/>
      <c r="BE988" s="1311"/>
      <c r="BF988" s="1311"/>
      <c r="BG988" s="1311"/>
      <c r="BH988" s="1311"/>
      <c r="BI988" s="1311"/>
      <c r="BJ988" s="1311"/>
      <c r="BK988" s="1311"/>
      <c r="BL988" s="1311"/>
      <c r="BM988" s="1311"/>
      <c r="BN988" s="1311"/>
      <c r="BO988" s="1311"/>
      <c r="BP988" s="1311"/>
      <c r="BQ988" s="1311"/>
      <c r="BR988" s="1311"/>
      <c r="BS988" s="1311"/>
      <c r="BT988" s="1311"/>
      <c r="BU988" s="1311"/>
      <c r="BV988" s="1311"/>
      <c r="BW988" s="1311"/>
      <c r="BX988" s="1311"/>
      <c r="BY988" s="1311"/>
      <c r="BZ988" s="1311"/>
      <c r="CA988" s="1311"/>
      <c r="CB988" s="1311"/>
      <c r="CC988" s="1311"/>
      <c r="CD988" s="1311"/>
      <c r="CE988" s="1311"/>
      <c r="CF988" s="1311"/>
      <c r="CG988" s="1311"/>
      <c r="CH988" s="1311"/>
      <c r="CI988" s="1311"/>
      <c r="CJ988" s="1311"/>
      <c r="CK988" s="1311"/>
      <c r="CL988" s="1311"/>
      <c r="CM988" s="1311"/>
      <c r="CN988" s="1311"/>
      <c r="CO988" s="1311"/>
      <c r="CP988" s="1311"/>
      <c r="CQ988" s="1311"/>
      <c r="CR988" s="1311"/>
      <c r="CS988" s="1311"/>
      <c r="CT988" s="1311"/>
      <c r="CU988" s="1311"/>
      <c r="CV988" s="1311"/>
      <c r="CW988" s="1311"/>
      <c r="CX988" s="1311"/>
      <c r="CY988" s="1311"/>
      <c r="CZ988" s="1311"/>
      <c r="DA988" s="1311"/>
      <c r="DB988" s="1311"/>
      <c r="DC988" s="1311"/>
      <c r="DD988" s="1311"/>
      <c r="DE988" s="1311"/>
      <c r="DF988" s="1311"/>
      <c r="DG988" s="1311"/>
      <c r="DH988" s="1311"/>
      <c r="DI988" s="1311"/>
      <c r="DJ988" s="1311"/>
      <c r="DK988" s="1311"/>
      <c r="DL988" s="1311"/>
      <c r="DM988" s="1311"/>
      <c r="DN988" s="1311"/>
      <c r="DO988" s="1311"/>
      <c r="DP988" s="1311"/>
      <c r="DQ988" s="1311"/>
      <c r="DR988" s="1311"/>
      <c r="DS988" s="1311"/>
      <c r="DT988" s="1311"/>
      <c r="DU988" s="1311"/>
      <c r="DV988" s="1311"/>
      <c r="DW988" s="1311"/>
      <c r="DX988" s="1311"/>
      <c r="DY988" s="1311"/>
      <c r="DZ988" s="1311"/>
      <c r="EA988" s="1311"/>
      <c r="EB988" s="1311"/>
      <c r="EC988" s="1311"/>
      <c r="ED988" s="1311"/>
      <c r="EE988" s="1311"/>
      <c r="EF988" s="1311"/>
      <c r="EG988" s="1311"/>
      <c r="EH988" s="1311"/>
      <c r="EI988" s="1311"/>
      <c r="EJ988" s="1311"/>
      <c r="EK988" s="1311"/>
      <c r="EL988" s="1311"/>
      <c r="EM988" s="1311"/>
      <c r="EN988" s="1311"/>
      <c r="EO988" s="1311"/>
      <c r="EP988" s="1311"/>
      <c r="EQ988" s="1311"/>
      <c r="ER988" s="1311"/>
      <c r="ES988" s="1311"/>
      <c r="ET988" s="1311"/>
      <c r="EU988" s="1311"/>
      <c r="EV988" s="1311"/>
      <c r="EW988" s="1311"/>
      <c r="EX988" s="1311"/>
      <c r="EY988" s="1311"/>
      <c r="EZ988" s="1311"/>
      <c r="FA988" s="1311"/>
      <c r="FB988" s="1311"/>
      <c r="FC988" s="1311"/>
      <c r="FD988" s="1311"/>
      <c r="FE988" s="1311"/>
      <c r="FF988" s="1311"/>
      <c r="FG988" s="1311"/>
      <c r="FH988" s="1311"/>
      <c r="FI988" s="1311"/>
      <c r="FJ988" s="1311"/>
      <c r="FK988" s="1311"/>
      <c r="FL988" s="1311"/>
      <c r="FM988" s="1311"/>
      <c r="FN988" s="1311"/>
      <c r="FO988" s="1311"/>
      <c r="FP988" s="1311"/>
      <c r="FQ988" s="1311"/>
      <c r="FR988" s="1311"/>
      <c r="FS988" s="1311"/>
      <c r="FT988" s="1311"/>
      <c r="FU988" s="1311"/>
      <c r="FV988" s="1311"/>
      <c r="FW988" s="1311"/>
      <c r="FX988" s="1311"/>
      <c r="FY988" s="1311"/>
      <c r="FZ988" s="1311"/>
      <c r="GA988" s="1311"/>
      <c r="GB988" s="1311"/>
      <c r="GC988" s="1311"/>
      <c r="GD988" s="1311"/>
      <c r="GE988" s="1311"/>
      <c r="GF988" s="1311"/>
      <c r="GG988" s="1311"/>
      <c r="GH988" s="1311"/>
      <c r="GI988" s="1311"/>
      <c r="GJ988" s="1311"/>
      <c r="GK988" s="1311"/>
      <c r="GL988" s="1311"/>
      <c r="GM988" s="1311"/>
      <c r="GN988" s="1311"/>
      <c r="GO988" s="1311"/>
      <c r="GP988" s="1311"/>
      <c r="GQ988" s="1311"/>
      <c r="GR988" s="1311"/>
      <c r="GS988" s="1311"/>
      <c r="GT988" s="1311"/>
      <c r="GU988" s="1311"/>
      <c r="GV988" s="1311"/>
      <c r="GW988" s="1311"/>
      <c r="GX988" s="1311"/>
      <c r="GY988" s="1311"/>
      <c r="GZ988" s="1311"/>
      <c r="HA988" s="1311"/>
      <c r="HB988" s="1311"/>
      <c r="HC988" s="1311"/>
      <c r="HD988" s="1311"/>
      <c r="HE988" s="1311"/>
      <c r="HF988" s="1311"/>
      <c r="HG988" s="1311"/>
      <c r="HH988" s="1311"/>
      <c r="HI988" s="1311"/>
      <c r="HJ988" s="1311"/>
      <c r="HK988" s="1311"/>
      <c r="HL988" s="1311"/>
      <c r="HM988" s="1311"/>
      <c r="HN988" s="1311"/>
      <c r="HO988" s="1311"/>
      <c r="HP988" s="1311"/>
      <c r="HQ988" s="1311"/>
      <c r="HR988" s="1311"/>
      <c r="HS988" s="1311"/>
      <c r="HT988" s="1311"/>
      <c r="HU988" s="1311"/>
      <c r="HV988" s="1311"/>
      <c r="HW988" s="1311"/>
      <c r="HX988" s="1311"/>
      <c r="HY988" s="1311"/>
      <c r="HZ988" s="1311"/>
      <c r="IA988" s="1311"/>
      <c r="IB988" s="1311"/>
      <c r="IC988" s="1311"/>
      <c r="ID988" s="1311"/>
      <c r="IE988" s="1311"/>
      <c r="IF988" s="1311"/>
      <c r="IG988" s="1311"/>
      <c r="IH988" s="1311"/>
      <c r="II988" s="1311"/>
      <c r="IJ988" s="1311"/>
      <c r="IK988" s="1311"/>
      <c r="IL988" s="1311"/>
      <c r="IM988" s="1311"/>
      <c r="IN988" s="1311"/>
      <c r="IO988" s="1311"/>
      <c r="IP988" s="1311"/>
      <c r="IQ988" s="1311"/>
      <c r="IR988" s="1311"/>
      <c r="IS988" s="1311"/>
      <c r="IT988" s="1311"/>
      <c r="IU988" s="1311"/>
      <c r="IV988" s="1311"/>
      <c r="IW988" s="1311"/>
      <c r="IX988" s="1311"/>
      <c r="IY988" s="1311"/>
      <c r="IZ988" s="1311"/>
      <c r="JA988" s="1311"/>
      <c r="JB988" s="1311"/>
      <c r="JC988" s="1311"/>
      <c r="JD988" s="1311"/>
      <c r="JE988" s="1311"/>
      <c r="JF988" s="1311"/>
      <c r="JG988" s="1311"/>
      <c r="JH988" s="1311"/>
      <c r="JI988" s="1311"/>
      <c r="JJ988" s="1311"/>
      <c r="JK988" s="1311"/>
      <c r="JL988" s="1311"/>
      <c r="JM988" s="1311"/>
      <c r="JN988" s="1311"/>
      <c r="JO988" s="1311"/>
      <c r="JP988" s="1311"/>
      <c r="JQ988" s="1311"/>
      <c r="JR988" s="1311"/>
      <c r="JS988" s="1311"/>
      <c r="JT988" s="1311"/>
      <c r="JU988" s="1311"/>
      <c r="JV988" s="1955"/>
      <c r="JW988" s="1311"/>
      <c r="JX988" s="1311"/>
      <c r="JY988" s="1311"/>
      <c r="JZ988" s="1311"/>
      <c r="KA988" s="1955"/>
      <c r="KB988" s="1955"/>
      <c r="KC988" s="1955"/>
      <c r="KD988" s="1955"/>
      <c r="KE988" s="1955"/>
      <c r="KF988" s="1955"/>
      <c r="KG988" s="1955"/>
      <c r="KH988" s="1955"/>
      <c r="KI988" s="1955"/>
      <c r="KJ988" s="1955"/>
      <c r="KK988" s="1955"/>
      <c r="KL988" s="1955"/>
      <c r="KM988" s="1955"/>
      <c r="KN988" s="1955"/>
      <c r="KO988" s="1955"/>
      <c r="KP988" s="1955"/>
      <c r="KQ988" s="1955"/>
      <c r="KR988" s="1955"/>
      <c r="KS988" s="1955"/>
      <c r="KT988" s="1955"/>
      <c r="KU988" s="1955"/>
      <c r="KV988" s="1955"/>
      <c r="KW988" s="1955"/>
      <c r="KX988" s="1955"/>
      <c r="KY988" s="1955"/>
      <c r="KZ988" s="1955"/>
      <c r="LA988" s="1955"/>
      <c r="LB988" s="1955"/>
      <c r="LC988" s="1955"/>
      <c r="LD988" s="1955"/>
      <c r="LE988" s="1955"/>
      <c r="LF988" s="1955"/>
      <c r="LG988" s="1311"/>
      <c r="LH988" s="1311"/>
      <c r="LI988" s="1311"/>
      <c r="LJ988" s="1311"/>
      <c r="LK988" s="1311"/>
      <c r="LL988" s="1311"/>
      <c r="LM988" s="1311"/>
      <c r="LN988" s="1311"/>
      <c r="LO988" s="1311"/>
      <c r="LP988" s="1311"/>
      <c r="LQ988" s="1311"/>
      <c r="LR988" s="1311"/>
      <c r="LS988" s="1311"/>
      <c r="LT988" s="1311"/>
      <c r="LU988" s="1311"/>
      <c r="LV988" s="1311"/>
      <c r="LW988" s="1311"/>
      <c r="LX988" s="1311"/>
      <c r="LY988" s="1311"/>
      <c r="LZ988" s="1311"/>
      <c r="MA988" s="1311"/>
      <c r="MB988" s="1311"/>
      <c r="MC988" s="1311"/>
      <c r="MD988" s="1311"/>
      <c r="ME988" s="1311"/>
      <c r="MF988" s="1311"/>
      <c r="MG988" s="1311"/>
      <c r="MH988" s="1311"/>
      <c r="MI988" s="1311"/>
      <c r="MJ988" s="1311"/>
      <c r="MK988" s="1311"/>
      <c r="ML988" s="1311"/>
      <c r="MM988" s="1311"/>
      <c r="MN988" s="1311"/>
      <c r="MO988" s="1311"/>
      <c r="MP988" s="1311"/>
      <c r="MQ988" s="1311"/>
      <c r="MR988" s="1311"/>
      <c r="MS988" s="1311"/>
    </row>
    <row r="989" spans="1:357">
      <c r="A989" s="1311"/>
      <c r="B989" s="457" t="str">
        <f>'Part VI-Revenues &amp; Expenses'!B227</f>
        <v>Bank Chk, Software, Training, Credit Checks</v>
      </c>
      <c r="C989" s="457"/>
      <c r="D989" s="457"/>
      <c r="E989" s="457"/>
      <c r="F989" s="2012">
        <f>'Part VI-Revenues &amp; Expenses'!F227</f>
        <v>5500</v>
      </c>
      <c r="G989" s="2012"/>
      <c r="H989" s="1311"/>
      <c r="I989" s="1311"/>
      <c r="J989" s="1993"/>
      <c r="K989" s="1311"/>
      <c r="L989" s="1311"/>
      <c r="M989" s="2005"/>
      <c r="N989" s="1997" t="s">
        <v>2713</v>
      </c>
      <c r="O989" s="2030">
        <f>+P988/O829</f>
        <v>5430.6428571428569</v>
      </c>
      <c r="P989" s="1311"/>
      <c r="Q989" s="2013"/>
      <c r="R989" s="1979">
        <f>'Part VI-Revenues &amp; Expenses'!R227</f>
        <v>0</v>
      </c>
      <c r="S989" s="1979"/>
      <c r="T989" s="1979"/>
      <c r="U989" s="1979"/>
      <c r="V989" s="1979"/>
      <c r="X989" s="1311"/>
      <c r="Y989" s="1311"/>
      <c r="Z989" s="1311"/>
      <c r="AA989" s="1311"/>
      <c r="AC989" s="1311"/>
      <c r="AD989" s="1311"/>
      <c r="AE989" s="1311"/>
      <c r="AF989" s="1311"/>
      <c r="AH989" s="1311"/>
      <c r="AI989" s="1311"/>
      <c r="AJ989" s="1311"/>
      <c r="AK989" s="1311"/>
      <c r="AM989" s="1311"/>
      <c r="AN989" s="1311"/>
      <c r="AO989" s="1311"/>
      <c r="AP989" s="1311"/>
      <c r="AQ989" s="1311"/>
      <c r="AR989" s="1311"/>
      <c r="AS989" s="1311"/>
      <c r="AT989" s="1311"/>
      <c r="AU989" s="1311"/>
      <c r="AV989" s="1311"/>
      <c r="AW989" s="1311"/>
      <c r="AX989" s="1311"/>
      <c r="AY989" s="1311"/>
      <c r="AZ989" s="1311"/>
      <c r="BA989" s="1311"/>
      <c r="BB989" s="1311"/>
      <c r="BC989" s="1311"/>
      <c r="BD989" s="1311"/>
      <c r="BE989" s="1311"/>
      <c r="BF989" s="1311"/>
      <c r="BG989" s="1311"/>
      <c r="BH989" s="1311"/>
      <c r="BI989" s="1311"/>
      <c r="BJ989" s="1311"/>
      <c r="BK989" s="1311"/>
      <c r="BL989" s="1311"/>
      <c r="BM989" s="1311"/>
      <c r="BN989" s="1311"/>
      <c r="BO989" s="1311"/>
      <c r="BP989" s="1311"/>
      <c r="BQ989" s="1311"/>
      <c r="BR989" s="1311"/>
      <c r="BS989" s="1311"/>
      <c r="BT989" s="1311"/>
      <c r="BU989" s="1311"/>
      <c r="BV989" s="1311"/>
      <c r="BW989" s="1311"/>
      <c r="BX989" s="1311"/>
      <c r="BY989" s="1311"/>
      <c r="BZ989" s="1311"/>
      <c r="CA989" s="1311"/>
      <c r="CB989" s="1311"/>
      <c r="CC989" s="1311"/>
      <c r="CD989" s="1311"/>
      <c r="CE989" s="1311"/>
      <c r="CF989" s="1311"/>
      <c r="CG989" s="1311"/>
      <c r="CH989" s="1311"/>
      <c r="CI989" s="1311"/>
      <c r="CJ989" s="1311"/>
      <c r="CK989" s="1311"/>
      <c r="CL989" s="1311"/>
      <c r="CM989" s="1311"/>
      <c r="CN989" s="1311"/>
      <c r="CO989" s="1311"/>
      <c r="CP989" s="1311"/>
      <c r="CQ989" s="1311"/>
      <c r="CR989" s="1311"/>
      <c r="CS989" s="1311"/>
      <c r="CT989" s="1311"/>
      <c r="CU989" s="1311"/>
      <c r="CV989" s="1311"/>
      <c r="CW989" s="1311"/>
      <c r="CX989" s="1311"/>
      <c r="CY989" s="1311"/>
      <c r="CZ989" s="1311"/>
      <c r="DA989" s="1311"/>
      <c r="DB989" s="1311"/>
      <c r="DC989" s="1311"/>
      <c r="DD989" s="1311"/>
      <c r="DE989" s="1311"/>
      <c r="DF989" s="1311"/>
      <c r="DG989" s="1311"/>
      <c r="DH989" s="1311"/>
      <c r="DI989" s="1311"/>
      <c r="DJ989" s="1311"/>
      <c r="DK989" s="1311"/>
      <c r="DL989" s="1311"/>
      <c r="DM989" s="1311"/>
      <c r="DN989" s="1311"/>
      <c r="DO989" s="1311"/>
      <c r="DP989" s="1311"/>
      <c r="DQ989" s="1311"/>
      <c r="DR989" s="1311"/>
      <c r="DS989" s="1311"/>
      <c r="DT989" s="1311"/>
      <c r="DU989" s="1311"/>
      <c r="DV989" s="1311"/>
      <c r="DW989" s="1311"/>
      <c r="DX989" s="1311"/>
      <c r="DY989" s="1311"/>
      <c r="DZ989" s="1311"/>
      <c r="EA989" s="1311"/>
      <c r="EB989" s="1311"/>
      <c r="EC989" s="1311"/>
      <c r="ED989" s="1311"/>
      <c r="EE989" s="1311"/>
      <c r="EF989" s="1311"/>
      <c r="EG989" s="1311"/>
      <c r="EH989" s="1311"/>
      <c r="EI989" s="1311"/>
      <c r="EJ989" s="1311"/>
      <c r="EK989" s="1311"/>
      <c r="EL989" s="1311"/>
      <c r="EM989" s="1311"/>
      <c r="EN989" s="1311"/>
      <c r="EO989" s="1311"/>
      <c r="EP989" s="1311"/>
      <c r="EQ989" s="1311"/>
      <c r="ER989" s="1311"/>
      <c r="ES989" s="1311"/>
      <c r="ET989" s="1311"/>
      <c r="EU989" s="1311"/>
      <c r="EV989" s="1311"/>
      <c r="EW989" s="1311"/>
      <c r="EX989" s="1311"/>
      <c r="EY989" s="1311"/>
      <c r="EZ989" s="1311"/>
      <c r="FA989" s="1311"/>
      <c r="FB989" s="1311"/>
      <c r="FC989" s="1311"/>
      <c r="FD989" s="1311"/>
      <c r="FE989" s="1311"/>
      <c r="FF989" s="1311"/>
      <c r="FG989" s="1311"/>
      <c r="FH989" s="1311"/>
      <c r="FI989" s="1311"/>
      <c r="FJ989" s="1311"/>
      <c r="FK989" s="1311"/>
      <c r="FL989" s="1311"/>
      <c r="FM989" s="1311"/>
      <c r="FN989" s="1311"/>
      <c r="FO989" s="1311"/>
      <c r="FP989" s="1311"/>
      <c r="FQ989" s="1311"/>
      <c r="FR989" s="1311"/>
      <c r="FS989" s="1311"/>
      <c r="FT989" s="1311"/>
      <c r="FU989" s="1311"/>
      <c r="FV989" s="1311"/>
      <c r="FW989" s="1311"/>
      <c r="FX989" s="1311"/>
      <c r="FY989" s="1311"/>
      <c r="FZ989" s="1311"/>
      <c r="GA989" s="1311"/>
      <c r="GB989" s="1311"/>
      <c r="GC989" s="1311"/>
      <c r="GD989" s="1311"/>
      <c r="GE989" s="1311"/>
      <c r="GF989" s="1311"/>
      <c r="GG989" s="1311"/>
      <c r="GH989" s="1311"/>
      <c r="GI989" s="1311"/>
      <c r="GJ989" s="1311"/>
      <c r="GK989" s="1311"/>
      <c r="GL989" s="1311"/>
      <c r="GM989" s="1311"/>
      <c r="GN989" s="1311"/>
      <c r="GO989" s="1311"/>
      <c r="GP989" s="1311"/>
      <c r="GQ989" s="1311"/>
      <c r="GR989" s="1311"/>
      <c r="GS989" s="1311"/>
      <c r="GT989" s="1311"/>
      <c r="GU989" s="1311"/>
      <c r="GV989" s="1311"/>
      <c r="GW989" s="1311"/>
      <c r="GX989" s="1311"/>
      <c r="GY989" s="1311"/>
      <c r="GZ989" s="1311"/>
      <c r="HA989" s="1311"/>
      <c r="HB989" s="1311"/>
      <c r="HC989" s="1311"/>
      <c r="HD989" s="1311"/>
      <c r="HE989" s="1311"/>
      <c r="HF989" s="1311"/>
      <c r="HG989" s="1311"/>
      <c r="HH989" s="1311"/>
      <c r="HI989" s="1311"/>
      <c r="HJ989" s="1311"/>
      <c r="HK989" s="1311"/>
      <c r="HL989" s="1311"/>
      <c r="HM989" s="1311"/>
      <c r="HN989" s="1311"/>
      <c r="HO989" s="1311"/>
      <c r="HP989" s="1311"/>
      <c r="HQ989" s="1311"/>
      <c r="HR989" s="1311"/>
      <c r="HS989" s="1311"/>
      <c r="HT989" s="1311"/>
      <c r="HU989" s="1311"/>
      <c r="HV989" s="1311"/>
      <c r="HW989" s="1311"/>
      <c r="HX989" s="1311"/>
      <c r="HY989" s="1311"/>
      <c r="HZ989" s="1311"/>
      <c r="IA989" s="1311"/>
      <c r="IB989" s="1311"/>
      <c r="IC989" s="1311"/>
      <c r="ID989" s="1311"/>
      <c r="IE989" s="1311"/>
      <c r="IF989" s="1311"/>
      <c r="IG989" s="1311"/>
      <c r="IH989" s="1311"/>
      <c r="II989" s="1311"/>
      <c r="IJ989" s="1311"/>
      <c r="IK989" s="1311"/>
      <c r="IL989" s="1311"/>
      <c r="IM989" s="1311"/>
      <c r="IN989" s="1311"/>
      <c r="IO989" s="1311"/>
      <c r="IP989" s="1311"/>
      <c r="IQ989" s="1311"/>
      <c r="IR989" s="1311"/>
      <c r="IS989" s="1311"/>
      <c r="IT989" s="1311"/>
      <c r="IU989" s="1311"/>
      <c r="IV989" s="1311"/>
      <c r="IW989" s="1311"/>
      <c r="IX989" s="1311"/>
      <c r="IY989" s="1311"/>
      <c r="IZ989" s="1311"/>
      <c r="JA989" s="1311"/>
      <c r="JB989" s="1311"/>
      <c r="JC989" s="1311"/>
      <c r="JD989" s="1311"/>
      <c r="JE989" s="1311"/>
      <c r="JF989" s="1311"/>
      <c r="JG989" s="1311"/>
      <c r="JH989" s="1311"/>
      <c r="JI989" s="1311"/>
      <c r="JJ989" s="1311"/>
      <c r="JK989" s="1311"/>
      <c r="JL989" s="1311"/>
      <c r="JM989" s="1311"/>
      <c r="JN989" s="1311"/>
      <c r="JO989" s="1311"/>
      <c r="JP989" s="1311"/>
      <c r="JQ989" s="1311"/>
      <c r="JR989" s="1311"/>
      <c r="JS989" s="1311"/>
      <c r="JT989" s="1311"/>
      <c r="JU989" s="1311"/>
      <c r="JV989" s="1955"/>
      <c r="JW989" s="1311"/>
      <c r="JX989" s="1311"/>
      <c r="JY989" s="1311"/>
      <c r="JZ989" s="1311"/>
      <c r="KA989" s="1955"/>
      <c r="KB989" s="1955"/>
      <c r="KC989" s="1955"/>
      <c r="KD989" s="1955"/>
      <c r="KE989" s="1955"/>
      <c r="KF989" s="1955"/>
      <c r="KG989" s="1955"/>
      <c r="KH989" s="1955"/>
      <c r="KI989" s="1955"/>
      <c r="KJ989" s="1955"/>
      <c r="KK989" s="1955"/>
      <c r="KL989" s="1955"/>
      <c r="KM989" s="1955"/>
      <c r="KN989" s="1955"/>
      <c r="KO989" s="1955"/>
      <c r="KP989" s="1955"/>
      <c r="KQ989" s="1955"/>
      <c r="KR989" s="1955"/>
      <c r="KS989" s="1955"/>
      <c r="KT989" s="1955"/>
      <c r="KU989" s="1955"/>
      <c r="KV989" s="1955"/>
      <c r="KW989" s="1955"/>
      <c r="KX989" s="1955"/>
      <c r="KY989" s="1955"/>
      <c r="KZ989" s="1955"/>
      <c r="LA989" s="1955"/>
      <c r="LB989" s="1955"/>
      <c r="LC989" s="1955"/>
      <c r="LD989" s="1955"/>
      <c r="LE989" s="1955"/>
      <c r="LF989" s="1955"/>
      <c r="LG989" s="1311"/>
      <c r="LH989" s="1311"/>
      <c r="LI989" s="1311"/>
      <c r="LJ989" s="1311"/>
      <c r="LK989" s="1311"/>
      <c r="LL989" s="1311"/>
      <c r="LM989" s="1311"/>
      <c r="LN989" s="1311"/>
      <c r="LO989" s="1311"/>
      <c r="LP989" s="1311"/>
      <c r="LQ989" s="1311"/>
      <c r="LR989" s="1311"/>
      <c r="LS989" s="1311"/>
      <c r="LT989" s="1311"/>
      <c r="LU989" s="1311"/>
      <c r="LV989" s="1311"/>
      <c r="LW989" s="1311"/>
      <c r="LX989" s="1311"/>
      <c r="LY989" s="1311"/>
      <c r="LZ989" s="1311"/>
      <c r="MA989" s="1311"/>
      <c r="MB989" s="1311"/>
      <c r="MC989" s="1311"/>
      <c r="MD989" s="1311"/>
      <c r="ME989" s="1311"/>
      <c r="MF989" s="1311"/>
      <c r="MG989" s="1311"/>
      <c r="MH989" s="1311"/>
      <c r="MI989" s="1311"/>
      <c r="MJ989" s="1311"/>
      <c r="MK989" s="1311"/>
      <c r="ML989" s="1311"/>
      <c r="MM989" s="1311"/>
      <c r="MN989" s="1311"/>
      <c r="MO989" s="1311"/>
      <c r="MP989" s="1311"/>
      <c r="MQ989" s="1311"/>
      <c r="MR989" s="1311"/>
      <c r="MS989" s="1311"/>
    </row>
    <row r="990" spans="1:357">
      <c r="A990" s="1311"/>
      <c r="B990" s="1311"/>
      <c r="C990" s="2026" t="s">
        <v>189</v>
      </c>
      <c r="D990" s="1311"/>
      <c r="E990" s="1311"/>
      <c r="F990" s="2012">
        <f>SUM(F984:G989)</f>
        <v>14400</v>
      </c>
      <c r="G990" s="2012"/>
      <c r="H990" s="1311"/>
      <c r="I990" s="1311"/>
      <c r="J990" s="1993"/>
      <c r="K990" s="1311"/>
      <c r="L990" s="1311"/>
      <c r="M990" s="2005"/>
      <c r="N990" s="1311"/>
      <c r="O990" s="1997" t="s">
        <v>3625</v>
      </c>
      <c r="P990" s="2013">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1"/>
      <c r="R990" s="1979">
        <f>'Part VI-Revenues &amp; Expenses'!R228</f>
        <v>0</v>
      </c>
      <c r="S990" s="1979"/>
      <c r="T990" s="1979"/>
      <c r="U990" s="1979"/>
      <c r="V990" s="1979"/>
      <c r="X990" s="1311"/>
      <c r="Y990" s="1311"/>
      <c r="Z990" s="1311"/>
      <c r="AA990" s="1311"/>
      <c r="AC990" s="1311"/>
      <c r="AD990" s="1311"/>
      <c r="AE990" s="1311"/>
      <c r="AF990" s="1311"/>
      <c r="AH990" s="1311"/>
      <c r="AI990" s="1311"/>
      <c r="AJ990" s="1311"/>
      <c r="AK990" s="1311"/>
      <c r="AM990" s="1311"/>
      <c r="AN990" s="1311"/>
      <c r="AO990" s="1311"/>
      <c r="AP990" s="1311"/>
      <c r="AQ990" s="1311"/>
      <c r="AR990" s="1311"/>
      <c r="AS990" s="1311"/>
      <c r="AT990" s="1311"/>
      <c r="AU990" s="1311"/>
      <c r="AV990" s="1311"/>
      <c r="AW990" s="1311"/>
      <c r="AX990" s="1311"/>
      <c r="AY990" s="1311"/>
      <c r="AZ990" s="1311"/>
      <c r="BA990" s="1311"/>
      <c r="BB990" s="1311"/>
      <c r="BC990" s="1311"/>
      <c r="BD990" s="1311"/>
      <c r="BE990" s="1311"/>
      <c r="BF990" s="1311"/>
      <c r="BG990" s="1311"/>
      <c r="BH990" s="1311"/>
      <c r="BI990" s="1311"/>
      <c r="BJ990" s="1311"/>
      <c r="BK990" s="1311"/>
      <c r="BL990" s="1311"/>
      <c r="BM990" s="1311"/>
      <c r="BN990" s="1311"/>
      <c r="BO990" s="1311"/>
      <c r="BP990" s="1311"/>
      <c r="BQ990" s="1311"/>
      <c r="BR990" s="1311"/>
      <c r="BS990" s="1311"/>
      <c r="BT990" s="1311"/>
      <c r="BU990" s="1311"/>
      <c r="BV990" s="1311"/>
      <c r="BW990" s="1311"/>
      <c r="BX990" s="1311"/>
      <c r="BY990" s="1311"/>
      <c r="BZ990" s="1311"/>
      <c r="CA990" s="1311"/>
      <c r="CB990" s="1311"/>
      <c r="CC990" s="1311"/>
      <c r="CD990" s="1311"/>
      <c r="CE990" s="1311"/>
      <c r="CF990" s="1311"/>
      <c r="CG990" s="1311"/>
      <c r="CH990" s="1311"/>
      <c r="CI990" s="1311"/>
      <c r="CJ990" s="1311"/>
      <c r="CK990" s="1311"/>
      <c r="CL990" s="1311"/>
      <c r="CM990" s="1311"/>
      <c r="CN990" s="1311"/>
      <c r="CO990" s="1311"/>
      <c r="CP990" s="1311"/>
      <c r="CQ990" s="1311"/>
      <c r="CR990" s="1311"/>
      <c r="CS990" s="1311"/>
      <c r="CT990" s="1311"/>
      <c r="CU990" s="1311"/>
      <c r="CV990" s="1311"/>
      <c r="CW990" s="1311"/>
      <c r="CX990" s="1311"/>
      <c r="CY990" s="1311"/>
      <c r="CZ990" s="1311"/>
      <c r="DA990" s="1311"/>
      <c r="DB990" s="1311"/>
      <c r="DC990" s="1311"/>
      <c r="DD990" s="1311"/>
      <c r="DE990" s="1311"/>
      <c r="DF990" s="1311"/>
      <c r="DG990" s="1311"/>
      <c r="DH990" s="1311"/>
      <c r="DI990" s="1311"/>
      <c r="DJ990" s="1311"/>
      <c r="DK990" s="1311"/>
      <c r="DL990" s="1311"/>
      <c r="DM990" s="1311"/>
      <c r="DN990" s="1311"/>
      <c r="DO990" s="1311"/>
      <c r="DP990" s="1311"/>
      <c r="DQ990" s="1311"/>
      <c r="DR990" s="1311"/>
      <c r="DS990" s="1311"/>
      <c r="DT990" s="1311"/>
      <c r="DU990" s="1311"/>
      <c r="DV990" s="1311"/>
      <c r="DW990" s="1311"/>
      <c r="DX990" s="1311"/>
      <c r="DY990" s="1311"/>
      <c r="DZ990" s="1311"/>
      <c r="EA990" s="1311"/>
      <c r="EB990" s="1311"/>
      <c r="EC990" s="1311"/>
      <c r="ED990" s="1311"/>
      <c r="EE990" s="1311"/>
      <c r="EF990" s="1311"/>
      <c r="EG990" s="1311"/>
      <c r="EH990" s="1311"/>
      <c r="EI990" s="1311"/>
      <c r="EJ990" s="1311"/>
      <c r="EK990" s="1311"/>
      <c r="EL990" s="1311"/>
      <c r="EM990" s="1311"/>
      <c r="EN990" s="1311"/>
      <c r="EO990" s="1311"/>
      <c r="EP990" s="1311"/>
      <c r="EQ990" s="1311"/>
      <c r="ER990" s="1311"/>
      <c r="ES990" s="1311"/>
      <c r="ET990" s="1311"/>
      <c r="EU990" s="1311"/>
      <c r="EV990" s="1311"/>
      <c r="EW990" s="1311"/>
      <c r="EX990" s="1311"/>
      <c r="EY990" s="1311"/>
      <c r="EZ990" s="1311"/>
      <c r="FA990" s="1311"/>
      <c r="FB990" s="1311"/>
      <c r="FC990" s="1311"/>
      <c r="FD990" s="1311"/>
      <c r="FE990" s="1311"/>
      <c r="FF990" s="1311"/>
      <c r="FG990" s="1311"/>
      <c r="FH990" s="1311"/>
      <c r="FI990" s="1311"/>
      <c r="FJ990" s="1311"/>
      <c r="FK990" s="1311"/>
      <c r="FL990" s="1311"/>
      <c r="FM990" s="1311"/>
      <c r="FN990" s="1311"/>
      <c r="FO990" s="1311"/>
      <c r="FP990" s="1311"/>
      <c r="FQ990" s="1311"/>
      <c r="FR990" s="1311"/>
      <c r="FS990" s="1311"/>
      <c r="FT990" s="1311"/>
      <c r="FU990" s="1311"/>
      <c r="FV990" s="1311"/>
      <c r="FW990" s="1311"/>
      <c r="FX990" s="1311"/>
      <c r="FY990" s="1311"/>
      <c r="FZ990" s="1311"/>
      <c r="GA990" s="1311"/>
      <c r="GB990" s="1311"/>
      <c r="GC990" s="1311"/>
      <c r="GD990" s="1311"/>
      <c r="GE990" s="1311"/>
      <c r="GF990" s="1311"/>
      <c r="GG990" s="1311"/>
      <c r="GH990" s="1311"/>
      <c r="GI990" s="1311"/>
      <c r="GJ990" s="1311"/>
      <c r="GK990" s="1311"/>
      <c r="GL990" s="1311"/>
      <c r="GM990" s="1311"/>
      <c r="GN990" s="1311"/>
      <c r="GO990" s="1311"/>
      <c r="GP990" s="1311"/>
      <c r="GQ990" s="1311"/>
      <c r="GR990" s="1311"/>
      <c r="GS990" s="1311"/>
      <c r="GT990" s="1311"/>
      <c r="GU990" s="1311"/>
      <c r="GV990" s="1311"/>
      <c r="GW990" s="1311"/>
      <c r="GX990" s="1311"/>
      <c r="GY990" s="1311"/>
      <c r="GZ990" s="1311"/>
      <c r="HA990" s="1311"/>
      <c r="HB990" s="1311"/>
      <c r="HC990" s="1311"/>
      <c r="HD990" s="1311"/>
      <c r="HE990" s="1311"/>
      <c r="HF990" s="1311"/>
      <c r="HG990" s="1311"/>
      <c r="HH990" s="1311"/>
      <c r="HI990" s="1311"/>
      <c r="HJ990" s="1311"/>
      <c r="HK990" s="1311"/>
      <c r="HL990" s="1311"/>
      <c r="HM990" s="1311"/>
      <c r="HN990" s="1311"/>
      <c r="HO990" s="1311"/>
      <c r="HP990" s="1311"/>
      <c r="HQ990" s="1311"/>
      <c r="HR990" s="1311"/>
      <c r="HS990" s="1311"/>
      <c r="HT990" s="1311"/>
      <c r="HU990" s="1311"/>
      <c r="HV990" s="1311"/>
      <c r="HW990" s="1311"/>
      <c r="HX990" s="1311"/>
      <c r="HY990" s="1311"/>
      <c r="HZ990" s="1311"/>
      <c r="IA990" s="1311"/>
      <c r="IB990" s="1311"/>
      <c r="IC990" s="1311"/>
      <c r="ID990" s="1311"/>
      <c r="IE990" s="1311"/>
      <c r="IF990" s="1311"/>
      <c r="IG990" s="1311"/>
      <c r="IH990" s="1311"/>
      <c r="II990" s="1311"/>
      <c r="IJ990" s="1311"/>
      <c r="IK990" s="1311"/>
      <c r="IL990" s="1311"/>
      <c r="IM990" s="1311"/>
      <c r="IN990" s="1311"/>
      <c r="IO990" s="1311"/>
      <c r="IP990" s="1311"/>
      <c r="IQ990" s="1311"/>
      <c r="IR990" s="1311"/>
      <c r="IS990" s="1311"/>
      <c r="IT990" s="1311"/>
      <c r="IU990" s="1311"/>
      <c r="IV990" s="1311"/>
      <c r="IW990" s="1311"/>
      <c r="IX990" s="1311"/>
      <c r="IY990" s="1311"/>
      <c r="IZ990" s="1311"/>
      <c r="JA990" s="1311"/>
      <c r="JB990" s="1311"/>
      <c r="JC990" s="1311"/>
      <c r="JD990" s="1311"/>
      <c r="JE990" s="1311"/>
      <c r="JF990" s="1311"/>
      <c r="JG990" s="1311"/>
      <c r="JH990" s="1311"/>
      <c r="JI990" s="1311"/>
      <c r="JJ990" s="1311"/>
      <c r="JK990" s="1311"/>
      <c r="JL990" s="1311"/>
      <c r="JM990" s="1311"/>
      <c r="JN990" s="1311"/>
      <c r="JO990" s="1311"/>
      <c r="JP990" s="1311"/>
      <c r="JQ990" s="1311"/>
      <c r="JR990" s="1311"/>
      <c r="JS990" s="1311"/>
      <c r="JT990" s="1311"/>
      <c r="JU990" s="1311"/>
      <c r="JV990" s="1955"/>
      <c r="JW990" s="1311"/>
      <c r="JX990" s="1311"/>
      <c r="JY990" s="1311"/>
      <c r="JZ990" s="1311"/>
      <c r="KA990" s="1955"/>
      <c r="KB990" s="1955"/>
      <c r="KC990" s="1955"/>
      <c r="KD990" s="1955"/>
      <c r="KE990" s="1955"/>
      <c r="KF990" s="1955"/>
      <c r="KG990" s="1955"/>
      <c r="KH990" s="1955"/>
      <c r="KI990" s="1955"/>
      <c r="KJ990" s="1955"/>
      <c r="KK990" s="1955"/>
      <c r="KL990" s="1955"/>
      <c r="KM990" s="1955"/>
      <c r="KN990" s="1955"/>
      <c r="KO990" s="1955"/>
      <c r="KP990" s="1955"/>
      <c r="KQ990" s="1955"/>
      <c r="KR990" s="1955"/>
      <c r="KS990" s="1955"/>
      <c r="KT990" s="1955"/>
      <c r="KU990" s="1955"/>
      <c r="KV990" s="1955"/>
      <c r="KW990" s="1955"/>
      <c r="KX990" s="1955"/>
      <c r="KY990" s="1955"/>
      <c r="KZ990" s="1955"/>
      <c r="LA990" s="1955"/>
      <c r="LB990" s="1955"/>
      <c r="LC990" s="1955"/>
      <c r="LD990" s="1955"/>
      <c r="LE990" s="1955"/>
      <c r="LF990" s="1955"/>
      <c r="LG990" s="1311"/>
      <c r="LH990" s="1311"/>
      <c r="LI990" s="1311"/>
      <c r="LJ990" s="1311"/>
      <c r="LK990" s="1311"/>
      <c r="LL990" s="1311"/>
      <c r="LM990" s="1311"/>
      <c r="LN990" s="1311"/>
      <c r="LO990" s="1311"/>
      <c r="LP990" s="1311"/>
      <c r="LQ990" s="1311"/>
      <c r="LR990" s="1311"/>
      <c r="LS990" s="1311"/>
      <c r="LT990" s="1311"/>
      <c r="LU990" s="1311"/>
      <c r="LV990" s="1311"/>
      <c r="LW990" s="1311"/>
      <c r="LX990" s="1311"/>
      <c r="LY990" s="1311"/>
      <c r="LZ990" s="1311"/>
      <c r="MA990" s="1311"/>
      <c r="MB990" s="1311"/>
      <c r="MC990" s="1311"/>
      <c r="MD990" s="1311"/>
      <c r="ME990" s="1311"/>
      <c r="MF990" s="1311"/>
      <c r="MG990" s="1311"/>
      <c r="MH990" s="1311"/>
      <c r="MI990" s="1311"/>
      <c r="MJ990" s="1311"/>
      <c r="MK990" s="1311"/>
      <c r="ML990" s="1311"/>
      <c r="MM990" s="1311"/>
      <c r="MN990" s="1311"/>
      <c r="MO990" s="1311"/>
      <c r="MP990" s="1311"/>
      <c r="MQ990" s="1311"/>
      <c r="MR990" s="1311"/>
      <c r="MS990" s="1311"/>
    </row>
    <row r="991" spans="1:357">
      <c r="A991" s="1311"/>
      <c r="B991" s="1311"/>
      <c r="C991" s="1311"/>
      <c r="D991" s="2026"/>
      <c r="E991" s="1311"/>
      <c r="F991" s="1993"/>
      <c r="G991" s="1993"/>
      <c r="H991" s="1311"/>
      <c r="I991" s="1311"/>
      <c r="J991" s="1993"/>
      <c r="K991" s="1311"/>
      <c r="L991" s="1311"/>
      <c r="M991" s="2005"/>
      <c r="N991" s="1311"/>
      <c r="O991" s="1311"/>
      <c r="P991" s="1311"/>
      <c r="Q991" s="1311"/>
      <c r="R991" s="1979">
        <f>'Part VI-Revenues &amp; Expenses'!R229</f>
        <v>0</v>
      </c>
      <c r="S991" s="1979"/>
      <c r="T991" s="1979"/>
      <c r="U991" s="1979"/>
      <c r="V991" s="1979"/>
      <c r="W991" s="1311"/>
      <c r="X991" s="1311"/>
      <c r="Y991" s="1311"/>
      <c r="Z991" s="1311"/>
      <c r="AA991" s="1311"/>
      <c r="AB991" s="1311"/>
      <c r="AC991" s="1311"/>
      <c r="AD991" s="1311"/>
      <c r="AE991" s="1311"/>
      <c r="AF991" s="1311"/>
      <c r="AG991" s="1311"/>
      <c r="AH991" s="1311"/>
      <c r="AI991" s="1311"/>
      <c r="AJ991" s="1311"/>
      <c r="AK991" s="1311"/>
      <c r="AL991" s="1311"/>
      <c r="AM991" s="1311"/>
      <c r="AN991" s="1311"/>
      <c r="AO991" s="1311"/>
      <c r="AP991" s="1311"/>
      <c r="AQ991" s="1311"/>
      <c r="AR991" s="1311"/>
      <c r="AS991" s="1311"/>
      <c r="AT991" s="1311"/>
      <c r="AU991" s="1311"/>
      <c r="AV991" s="1311"/>
      <c r="AW991" s="1311"/>
      <c r="AX991" s="1311"/>
      <c r="AY991" s="1311"/>
      <c r="AZ991" s="1311"/>
      <c r="BA991" s="1311"/>
      <c r="BB991" s="1311"/>
      <c r="BC991" s="1311"/>
      <c r="BD991" s="1311"/>
      <c r="BE991" s="1311"/>
      <c r="BF991" s="1311"/>
      <c r="BG991" s="1311"/>
      <c r="BH991" s="1311"/>
      <c r="BI991" s="1311"/>
      <c r="BJ991" s="1311"/>
      <c r="BK991" s="1311"/>
      <c r="BL991" s="1311"/>
      <c r="BM991" s="1311"/>
      <c r="BN991" s="1311"/>
      <c r="BO991" s="1311"/>
      <c r="BP991" s="1311"/>
      <c r="BQ991" s="1311"/>
      <c r="BR991" s="1311"/>
      <c r="BS991" s="1311"/>
      <c r="BT991" s="1311"/>
      <c r="BU991" s="1311"/>
      <c r="BV991" s="1311"/>
      <c r="BW991" s="1311"/>
      <c r="BX991" s="1311"/>
      <c r="BY991" s="1311"/>
      <c r="BZ991" s="1311"/>
      <c r="CA991" s="1311"/>
      <c r="CB991" s="1311"/>
      <c r="CC991" s="1311"/>
      <c r="CD991" s="1311"/>
      <c r="CE991" s="1311"/>
      <c r="CF991" s="1311"/>
      <c r="CG991" s="1311"/>
      <c r="CH991" s="1311"/>
      <c r="CI991" s="1311"/>
      <c r="CJ991" s="1311"/>
      <c r="CK991" s="1311"/>
      <c r="CL991" s="1311"/>
      <c r="CM991" s="1311"/>
      <c r="CN991" s="1311"/>
      <c r="CO991" s="1311"/>
      <c r="CP991" s="1311"/>
      <c r="CQ991" s="1311"/>
      <c r="CR991" s="1311"/>
      <c r="CS991" s="1311"/>
      <c r="CT991" s="1311"/>
      <c r="CU991" s="1311"/>
      <c r="CV991" s="1311"/>
      <c r="CW991" s="1311"/>
      <c r="CX991" s="1311"/>
      <c r="CY991" s="1311"/>
      <c r="CZ991" s="1311"/>
      <c r="DA991" s="1311"/>
      <c r="DB991" s="1311"/>
      <c r="DC991" s="1311"/>
      <c r="DD991" s="1311"/>
      <c r="DE991" s="1311"/>
      <c r="DF991" s="1311"/>
      <c r="DG991" s="1311"/>
      <c r="DH991" s="1311"/>
      <c r="DI991" s="1311"/>
      <c r="DJ991" s="1311"/>
      <c r="DK991" s="1311"/>
      <c r="DL991" s="1311"/>
      <c r="DM991" s="1311"/>
      <c r="DN991" s="1311"/>
      <c r="DO991" s="1311"/>
      <c r="DP991" s="1311"/>
      <c r="DQ991" s="1311"/>
      <c r="DR991" s="1311"/>
      <c r="DS991" s="1311"/>
      <c r="DT991" s="1311"/>
      <c r="DU991" s="1311"/>
      <c r="DV991" s="1311"/>
      <c r="DW991" s="1311"/>
      <c r="DX991" s="1311"/>
      <c r="DY991" s="1311"/>
      <c r="DZ991" s="1311"/>
      <c r="EA991" s="1311"/>
      <c r="EB991" s="1311"/>
      <c r="EC991" s="1311"/>
      <c r="ED991" s="1311"/>
      <c r="EE991" s="1311"/>
      <c r="EF991" s="1311"/>
      <c r="EG991" s="1311"/>
      <c r="EH991" s="1311"/>
      <c r="EI991" s="1311"/>
      <c r="EJ991" s="1311"/>
      <c r="EK991" s="1311"/>
      <c r="EL991" s="1311"/>
      <c r="EM991" s="1311"/>
      <c r="EN991" s="1311"/>
      <c r="EO991" s="1311"/>
      <c r="EP991" s="1311"/>
      <c r="EQ991" s="1311"/>
      <c r="ER991" s="1311"/>
      <c r="ES991" s="1311"/>
      <c r="ET991" s="1311"/>
      <c r="EU991" s="1311"/>
      <c r="EV991" s="1311"/>
      <c r="EW991" s="1311"/>
      <c r="EX991" s="1311"/>
      <c r="EY991" s="1311"/>
      <c r="EZ991" s="1311"/>
      <c r="FA991" s="1311"/>
      <c r="FB991" s="1311"/>
      <c r="FC991" s="1311"/>
      <c r="FD991" s="1311"/>
      <c r="FE991" s="1311"/>
      <c r="FF991" s="1311"/>
      <c r="FG991" s="1311"/>
      <c r="FH991" s="1311"/>
      <c r="FI991" s="1311"/>
      <c r="FJ991" s="1311"/>
      <c r="FK991" s="1311"/>
      <c r="FL991" s="1311"/>
      <c r="FM991" s="1311"/>
      <c r="FN991" s="1311"/>
      <c r="FO991" s="1311"/>
      <c r="FP991" s="1311"/>
      <c r="FQ991" s="1311"/>
      <c r="FR991" s="1311"/>
      <c r="FS991" s="1311"/>
      <c r="FT991" s="1311"/>
      <c r="FU991" s="1311"/>
      <c r="FV991" s="1311"/>
      <c r="FW991" s="1311"/>
      <c r="FX991" s="1311"/>
      <c r="FY991" s="1311"/>
      <c r="FZ991" s="1311"/>
      <c r="GA991" s="1311"/>
      <c r="GB991" s="1311"/>
      <c r="GC991" s="1311"/>
      <c r="GD991" s="1311"/>
      <c r="GE991" s="1311"/>
      <c r="GF991" s="1311"/>
      <c r="GG991" s="1311"/>
      <c r="GH991" s="1311"/>
      <c r="GI991" s="1311"/>
      <c r="GJ991" s="1311"/>
      <c r="GK991" s="1311"/>
      <c r="GL991" s="1311"/>
      <c r="GM991" s="1311"/>
      <c r="GN991" s="1311"/>
      <c r="GO991" s="1311"/>
      <c r="GP991" s="1311"/>
      <c r="GQ991" s="1311"/>
      <c r="GR991" s="1311"/>
      <c r="GS991" s="1311"/>
      <c r="GT991" s="1311"/>
      <c r="GU991" s="1311"/>
      <c r="GV991" s="1311"/>
      <c r="GW991" s="1311"/>
      <c r="GX991" s="1311"/>
      <c r="GY991" s="1311"/>
      <c r="GZ991" s="1311"/>
      <c r="HA991" s="1311"/>
      <c r="HB991" s="1311"/>
      <c r="HC991" s="1311"/>
      <c r="HD991" s="1311"/>
      <c r="HE991" s="1311"/>
      <c r="HF991" s="1311"/>
      <c r="HG991" s="1311"/>
      <c r="HH991" s="1311"/>
      <c r="HI991" s="1311"/>
      <c r="HJ991" s="1311"/>
      <c r="HK991" s="1311"/>
      <c r="HL991" s="1311"/>
      <c r="HM991" s="1311"/>
      <c r="HN991" s="1311"/>
      <c r="HO991" s="1311"/>
      <c r="HP991" s="1311"/>
      <c r="HQ991" s="1311"/>
      <c r="HR991" s="1311"/>
      <c r="HS991" s="1311"/>
      <c r="HT991" s="1311"/>
      <c r="HU991" s="1311"/>
      <c r="HV991" s="1311"/>
      <c r="HW991" s="1311"/>
      <c r="HX991" s="1311"/>
      <c r="HY991" s="1311"/>
      <c r="HZ991" s="1311"/>
      <c r="IA991" s="1311"/>
      <c r="IB991" s="1311"/>
      <c r="IC991" s="1311"/>
      <c r="ID991" s="1311"/>
      <c r="IE991" s="1311"/>
      <c r="IF991" s="1311"/>
      <c r="IG991" s="1311"/>
      <c r="IH991" s="1311"/>
      <c r="II991" s="1311"/>
      <c r="IJ991" s="1311"/>
      <c r="IK991" s="1311"/>
      <c r="IL991" s="1311"/>
      <c r="IM991" s="1311"/>
      <c r="IN991" s="1311"/>
      <c r="IO991" s="1311"/>
      <c r="IP991" s="1311"/>
      <c r="IQ991" s="1311"/>
      <c r="IR991" s="1311"/>
      <c r="IS991" s="1311"/>
      <c r="IT991" s="1311"/>
      <c r="IU991" s="1311"/>
      <c r="IV991" s="1311"/>
      <c r="IW991" s="1311"/>
      <c r="IX991" s="1311"/>
      <c r="IY991" s="1311"/>
      <c r="IZ991" s="1311"/>
      <c r="JA991" s="1311"/>
      <c r="JB991" s="1311"/>
      <c r="JC991" s="1311"/>
      <c r="JD991" s="1311"/>
      <c r="JE991" s="1311"/>
      <c r="JF991" s="1311"/>
      <c r="JG991" s="1311"/>
      <c r="JH991" s="1311"/>
      <c r="JI991" s="1311"/>
      <c r="JJ991" s="1311"/>
      <c r="JK991" s="1311"/>
      <c r="JL991" s="1311"/>
      <c r="JM991" s="1311"/>
      <c r="JN991" s="1311"/>
      <c r="JO991" s="1311"/>
      <c r="JP991" s="1311"/>
      <c r="JQ991" s="1311"/>
      <c r="JR991" s="1311"/>
      <c r="JS991" s="1311"/>
      <c r="JT991" s="1311"/>
      <c r="JU991" s="1311"/>
      <c r="JV991" s="1955"/>
      <c r="JW991" s="1311"/>
      <c r="JX991" s="1311"/>
      <c r="JY991" s="1311"/>
      <c r="JZ991" s="1311"/>
      <c r="KA991" s="1955"/>
      <c r="KB991" s="1955"/>
      <c r="KC991" s="1955"/>
      <c r="KD991" s="1955"/>
      <c r="KE991" s="1955"/>
      <c r="KF991" s="1955"/>
      <c r="KG991" s="1955"/>
      <c r="KH991" s="1955"/>
      <c r="KI991" s="1955"/>
      <c r="KJ991" s="1955"/>
      <c r="KK991" s="1955"/>
      <c r="KL991" s="1955"/>
      <c r="KM991" s="1955"/>
      <c r="KN991" s="1955"/>
      <c r="KO991" s="1955"/>
      <c r="KP991" s="1955"/>
      <c r="KQ991" s="1955"/>
      <c r="KR991" s="1955"/>
      <c r="KS991" s="1955"/>
      <c r="KT991" s="1955"/>
      <c r="KU991" s="1955"/>
      <c r="KV991" s="1955"/>
      <c r="KW991" s="1955"/>
      <c r="KX991" s="1955"/>
      <c r="KY991" s="1955"/>
      <c r="KZ991" s="1955"/>
      <c r="LA991" s="1955"/>
      <c r="LB991" s="1955"/>
      <c r="LC991" s="1955"/>
      <c r="LD991" s="1955"/>
      <c r="LE991" s="1955"/>
      <c r="LF991" s="1955"/>
      <c r="LG991" s="1311"/>
      <c r="LH991" s="1311"/>
      <c r="LI991" s="1311"/>
      <c r="LJ991" s="1311"/>
      <c r="LK991" s="1311"/>
      <c r="LL991" s="1311"/>
      <c r="LM991" s="1311"/>
      <c r="LN991" s="1311"/>
      <c r="LO991" s="1311"/>
      <c r="LP991" s="1311"/>
      <c r="LQ991" s="1311"/>
      <c r="LR991" s="1311"/>
      <c r="LS991" s="1311"/>
      <c r="LT991" s="1311"/>
      <c r="LU991" s="1311"/>
      <c r="LV991" s="1311"/>
      <c r="LW991" s="1311"/>
      <c r="LX991" s="1311"/>
      <c r="LY991" s="1311"/>
      <c r="LZ991" s="1311"/>
      <c r="MA991" s="1311"/>
      <c r="MB991" s="1311"/>
      <c r="MC991" s="1311"/>
      <c r="MD991" s="1311"/>
      <c r="ME991" s="1311"/>
      <c r="MF991" s="1311"/>
      <c r="MG991" s="1311"/>
      <c r="MH991" s="1311"/>
      <c r="MI991" s="1311"/>
      <c r="MJ991" s="1311"/>
      <c r="MK991" s="1311"/>
      <c r="ML991" s="1311"/>
      <c r="MM991" s="1311"/>
      <c r="MN991" s="1311"/>
      <c r="MO991" s="1311"/>
      <c r="MP991" s="1311"/>
      <c r="MQ991" s="1311"/>
      <c r="MR991" s="1311"/>
      <c r="MS991" s="1311"/>
    </row>
    <row r="992" spans="1:357" ht="13.8">
      <c r="A992" s="1311"/>
      <c r="B992" s="1311" t="s">
        <v>1278</v>
      </c>
      <c r="C992" s="1311"/>
      <c r="D992" s="2028"/>
      <c r="E992" s="1311"/>
      <c r="F992" s="1311"/>
      <c r="G992" s="1311"/>
      <c r="H992" s="1311"/>
      <c r="I992" s="1311" t="s">
        <v>1360</v>
      </c>
      <c r="J992" s="1779" t="s">
        <v>4680</v>
      </c>
      <c r="K992" s="1311"/>
      <c r="L992" s="1311"/>
      <c r="M992" s="1311"/>
      <c r="N992" s="1311" t="s">
        <v>3414</v>
      </c>
      <c r="O992" s="1311"/>
      <c r="P992" s="2032">
        <f>'Part VI-Revenues &amp; Expenses'!P230</f>
        <v>21000</v>
      </c>
      <c r="Q992" s="2029"/>
      <c r="R992" s="1979">
        <f>'Part VI-Revenues &amp; Expenses'!R230</f>
        <v>0</v>
      </c>
      <c r="S992" s="1979"/>
      <c r="T992" s="1979"/>
      <c r="U992" s="1979"/>
      <c r="V992" s="1979"/>
      <c r="X992" s="1311"/>
      <c r="Y992" s="1311"/>
      <c r="Z992" s="1311"/>
      <c r="AA992" s="1311"/>
      <c r="AC992" s="1311"/>
      <c r="AD992" s="1311"/>
      <c r="AE992" s="1311"/>
      <c r="AF992" s="1311"/>
      <c r="AH992" s="1311"/>
      <c r="AI992" s="1311"/>
      <c r="AJ992" s="1311"/>
      <c r="AK992" s="1311"/>
      <c r="AM992" s="1311"/>
      <c r="AN992" s="1311"/>
      <c r="AO992" s="1311"/>
      <c r="AP992" s="1311"/>
      <c r="AQ992" s="1311"/>
      <c r="AR992" s="1311"/>
      <c r="AS992" s="1311"/>
      <c r="AT992" s="1311"/>
      <c r="AU992" s="1311"/>
      <c r="AV992" s="1311"/>
      <c r="AW992" s="1311"/>
      <c r="AX992" s="1311"/>
      <c r="AY992" s="1311"/>
      <c r="AZ992" s="1311"/>
      <c r="BA992" s="1311"/>
      <c r="BB992" s="1311"/>
      <c r="BC992" s="1311"/>
      <c r="BD992" s="1311"/>
      <c r="BE992" s="1311"/>
      <c r="BF992" s="1311"/>
      <c r="BG992" s="1311"/>
      <c r="BH992" s="1311"/>
      <c r="BI992" s="1311"/>
      <c r="BJ992" s="1311"/>
      <c r="BK992" s="1311"/>
      <c r="BL992" s="1311"/>
      <c r="BM992" s="1311"/>
      <c r="BN992" s="1311"/>
      <c r="BO992" s="1311"/>
      <c r="BP992" s="1311"/>
      <c r="BQ992" s="1311"/>
      <c r="BR992" s="1311"/>
      <c r="BS992" s="1311"/>
      <c r="BT992" s="1311"/>
      <c r="BU992" s="1311"/>
      <c r="BV992" s="1311"/>
      <c r="BW992" s="1311"/>
      <c r="BX992" s="1311"/>
      <c r="BY992" s="1311"/>
      <c r="BZ992" s="1311"/>
      <c r="CA992" s="1311"/>
      <c r="CB992" s="1311"/>
      <c r="CC992" s="1311"/>
      <c r="CD992" s="1311"/>
      <c r="CE992" s="1311"/>
      <c r="CF992" s="1311"/>
      <c r="CG992" s="1311"/>
      <c r="CH992" s="1311"/>
      <c r="CI992" s="1311"/>
      <c r="CJ992" s="1311"/>
      <c r="CK992" s="1311"/>
      <c r="CL992" s="1311"/>
      <c r="CM992" s="1311"/>
      <c r="CN992" s="1311"/>
      <c r="CO992" s="1311"/>
      <c r="CP992" s="1311"/>
      <c r="CQ992" s="1311"/>
      <c r="CR992" s="1311"/>
      <c r="CS992" s="1311"/>
      <c r="CT992" s="1311"/>
      <c r="CU992" s="1311"/>
      <c r="CV992" s="1311"/>
      <c r="CW992" s="1311"/>
      <c r="CX992" s="1311"/>
      <c r="CY992" s="1311"/>
      <c r="CZ992" s="1311"/>
      <c r="DA992" s="1311"/>
      <c r="DB992" s="1311"/>
      <c r="DC992" s="1311"/>
      <c r="DD992" s="1311"/>
      <c r="DE992" s="1311"/>
      <c r="DF992" s="1311"/>
      <c r="DG992" s="1311"/>
      <c r="DH992" s="1311"/>
      <c r="DI992" s="1311"/>
      <c r="DJ992" s="1311"/>
      <c r="DK992" s="1311"/>
      <c r="DL992" s="1311"/>
      <c r="DM992" s="1311"/>
      <c r="DN992" s="1311"/>
      <c r="DO992" s="1311"/>
      <c r="DP992" s="1311"/>
      <c r="DQ992" s="1311"/>
      <c r="DR992" s="1311"/>
      <c r="DS992" s="1311"/>
      <c r="DT992" s="1311"/>
      <c r="DU992" s="1311"/>
      <c r="DV992" s="1311"/>
      <c r="DW992" s="1311"/>
      <c r="DX992" s="1311"/>
      <c r="DY992" s="1311"/>
      <c r="DZ992" s="1311"/>
      <c r="EA992" s="1311"/>
      <c r="EB992" s="1311"/>
      <c r="EC992" s="1311"/>
      <c r="ED992" s="1311"/>
      <c r="EE992" s="1311"/>
      <c r="EF992" s="1311"/>
      <c r="EG992" s="1311"/>
      <c r="EH992" s="1311"/>
      <c r="EI992" s="1311"/>
      <c r="EJ992" s="1311"/>
      <c r="EK992" s="1311"/>
      <c r="EL992" s="1311"/>
      <c r="EM992" s="1311"/>
      <c r="EN992" s="1311"/>
      <c r="EO992" s="1311"/>
      <c r="EP992" s="1311"/>
      <c r="EQ992" s="1311"/>
      <c r="ER992" s="1311"/>
      <c r="ES992" s="1311"/>
      <c r="ET992" s="1311"/>
      <c r="EU992" s="1311"/>
      <c r="EV992" s="1311"/>
      <c r="EW992" s="1311"/>
      <c r="EX992" s="1311"/>
      <c r="EY992" s="1311"/>
      <c r="EZ992" s="1311"/>
      <c r="FA992" s="1311"/>
      <c r="FB992" s="1311"/>
      <c r="FC992" s="1311"/>
      <c r="FD992" s="1311"/>
      <c r="FE992" s="1311"/>
      <c r="FF992" s="1311"/>
      <c r="FG992" s="1311"/>
      <c r="FH992" s="1311"/>
      <c r="FI992" s="1311"/>
      <c r="FJ992" s="1311"/>
      <c r="FK992" s="1311"/>
      <c r="FL992" s="1311"/>
      <c r="FM992" s="1311"/>
      <c r="FN992" s="1311"/>
      <c r="FO992" s="1311"/>
      <c r="FP992" s="1311"/>
      <c r="FQ992" s="1311"/>
      <c r="FR992" s="1311"/>
      <c r="FS992" s="1311"/>
      <c r="FT992" s="1311"/>
      <c r="FU992" s="1311"/>
      <c r="FV992" s="1311"/>
      <c r="FW992" s="1311"/>
      <c r="FX992" s="1311"/>
      <c r="FY992" s="1311"/>
      <c r="FZ992" s="1311"/>
      <c r="GA992" s="1311"/>
      <c r="GB992" s="1311"/>
      <c r="GC992" s="1311"/>
      <c r="GD992" s="1311"/>
      <c r="GE992" s="1311"/>
      <c r="GF992" s="1311"/>
      <c r="GG992" s="1311"/>
      <c r="GH992" s="1311"/>
      <c r="GI992" s="1311"/>
      <c r="GJ992" s="1311"/>
      <c r="GK992" s="1311"/>
      <c r="GL992" s="1311"/>
      <c r="GM992" s="1311"/>
      <c r="GN992" s="1311"/>
      <c r="GO992" s="1311"/>
      <c r="GP992" s="1311"/>
      <c r="GQ992" s="1311"/>
      <c r="GR992" s="1311"/>
      <c r="GS992" s="1311"/>
      <c r="GT992" s="1311"/>
      <c r="GU992" s="1311"/>
      <c r="GV992" s="1311"/>
      <c r="GW992" s="1311"/>
      <c r="GX992" s="1311"/>
      <c r="GY992" s="1311"/>
      <c r="GZ992" s="1311"/>
      <c r="HA992" s="1311"/>
      <c r="HB992" s="1311"/>
      <c r="HC992" s="1311"/>
      <c r="HD992" s="1311"/>
      <c r="HE992" s="1311"/>
      <c r="HF992" s="1311"/>
      <c r="HG992" s="1311"/>
      <c r="HH992" s="1311"/>
      <c r="HI992" s="1311"/>
      <c r="HJ992" s="1311"/>
      <c r="HK992" s="1311"/>
      <c r="HL992" s="1311"/>
      <c r="HM992" s="1311"/>
      <c r="HN992" s="1311"/>
      <c r="HO992" s="1311"/>
      <c r="HP992" s="1311"/>
      <c r="HQ992" s="1311"/>
      <c r="HR992" s="1311"/>
      <c r="HS992" s="1311"/>
      <c r="HT992" s="1311"/>
      <c r="HU992" s="1311"/>
      <c r="HV992" s="1311"/>
      <c r="HW992" s="1311"/>
      <c r="HX992" s="1311"/>
      <c r="HY992" s="1311"/>
      <c r="HZ992" s="1311"/>
      <c r="IA992" s="1311"/>
      <c r="IB992" s="1311"/>
      <c r="IC992" s="1311"/>
      <c r="ID992" s="1311"/>
      <c r="IE992" s="1311"/>
      <c r="IF992" s="1311"/>
      <c r="IG992" s="1311"/>
      <c r="IH992" s="1311"/>
      <c r="II992" s="1311"/>
      <c r="IJ992" s="1311"/>
      <c r="IK992" s="1311"/>
      <c r="IL992" s="1311"/>
      <c r="IM992" s="1311"/>
      <c r="IN992" s="1311"/>
      <c r="IO992" s="1311"/>
      <c r="IP992" s="1311"/>
      <c r="IQ992" s="1311"/>
      <c r="IR992" s="1311"/>
      <c r="IS992" s="1311"/>
      <c r="IT992" s="1311"/>
      <c r="IU992" s="1311"/>
      <c r="IV992" s="1311"/>
      <c r="IW992" s="1311"/>
      <c r="IX992" s="1311"/>
      <c r="IY992" s="1311"/>
      <c r="IZ992" s="1311"/>
      <c r="JA992" s="1311"/>
      <c r="JB992" s="1311"/>
      <c r="JC992" s="1311"/>
      <c r="JD992" s="1311"/>
      <c r="JE992" s="1311"/>
      <c r="JF992" s="1311"/>
      <c r="JG992" s="1311"/>
      <c r="JH992" s="1311"/>
      <c r="JI992" s="1311"/>
      <c r="JJ992" s="1311"/>
      <c r="JK992" s="1311"/>
      <c r="JL992" s="1311"/>
      <c r="JM992" s="1311"/>
      <c r="JN992" s="1311"/>
      <c r="JO992" s="1311"/>
      <c r="JP992" s="1311"/>
      <c r="JQ992" s="1311"/>
      <c r="JR992" s="1311"/>
      <c r="JS992" s="1311"/>
      <c r="JT992" s="1311"/>
      <c r="JU992" s="1311"/>
      <c r="JV992" s="1955"/>
      <c r="JW992" s="1311"/>
      <c r="JX992" s="1311"/>
      <c r="JY992" s="1311"/>
      <c r="JZ992" s="1311"/>
      <c r="KA992" s="1955"/>
      <c r="KB992" s="1955"/>
      <c r="KC992" s="1955"/>
      <c r="KD992" s="1955"/>
      <c r="KE992" s="1955"/>
      <c r="KF992" s="1955"/>
      <c r="KG992" s="1955"/>
      <c r="KH992" s="1955"/>
      <c r="KI992" s="1955"/>
      <c r="KJ992" s="1955"/>
      <c r="KK992" s="1955"/>
      <c r="KL992" s="1955"/>
      <c r="KM992" s="1955"/>
      <c r="KN992" s="1955"/>
      <c r="KO992" s="1955"/>
      <c r="KP992" s="1955"/>
      <c r="KQ992" s="1955"/>
      <c r="KR992" s="1955"/>
      <c r="KS992" s="1955"/>
      <c r="KT992" s="1955"/>
      <c r="KU992" s="1955"/>
      <c r="KV992" s="1955"/>
      <c r="KW992" s="1955"/>
      <c r="KX992" s="1955"/>
      <c r="KY992" s="1955"/>
      <c r="KZ992" s="1955"/>
      <c r="LA992" s="1955"/>
      <c r="LB992" s="1955"/>
      <c r="LC992" s="1955"/>
      <c r="LD992" s="1955"/>
      <c r="LE992" s="1955"/>
      <c r="LF992" s="1955"/>
      <c r="LG992" s="1311"/>
      <c r="LH992" s="1311"/>
      <c r="LI992" s="1311"/>
      <c r="LJ992" s="1311"/>
      <c r="LK992" s="1311"/>
      <c r="LL992" s="1311"/>
      <c r="LM992" s="1311"/>
      <c r="LN992" s="1311"/>
      <c r="LO992" s="1311"/>
      <c r="LP992" s="1311"/>
      <c r="LQ992" s="1311"/>
      <c r="LR992" s="1311"/>
      <c r="LS992" s="1311"/>
      <c r="LT992" s="1311"/>
      <c r="LU992" s="1311"/>
      <c r="LV992" s="1311"/>
      <c r="LW992" s="1311"/>
      <c r="LX992" s="1311"/>
      <c r="LY992" s="1311"/>
      <c r="LZ992" s="1311"/>
      <c r="MA992" s="1311"/>
      <c r="MB992" s="1311"/>
      <c r="MC992" s="1311"/>
      <c r="MD992" s="1311"/>
      <c r="ME992" s="1311"/>
      <c r="MF992" s="1311"/>
      <c r="MG992" s="1311"/>
      <c r="MH992" s="1311"/>
      <c r="MI992" s="1311"/>
      <c r="MJ992" s="1311"/>
      <c r="MK992" s="1311"/>
      <c r="ML992" s="1311"/>
      <c r="MM992" s="1311"/>
      <c r="MN992" s="1311"/>
      <c r="MO992" s="1311"/>
      <c r="MP992" s="1311"/>
      <c r="MQ992" s="1311"/>
      <c r="MR992" s="1311"/>
      <c r="MS992" s="1311"/>
    </row>
    <row r="993" spans="1:357" ht="13.8">
      <c r="A993" s="1311"/>
      <c r="B993" s="1311" t="s">
        <v>1585</v>
      </c>
      <c r="C993" s="1311"/>
      <c r="D993" s="2028"/>
      <c r="E993" s="1311"/>
      <c r="F993" s="2012">
        <f>'Part VI-Revenues &amp; Expenses'!F231</f>
        <v>7500</v>
      </c>
      <c r="G993" s="2012"/>
      <c r="H993" s="1311"/>
      <c r="I993" s="1311" t="s">
        <v>1353</v>
      </c>
      <c r="J993" s="1839">
        <f>K993/12/O829</f>
        <v>11.904761904761905</v>
      </c>
      <c r="K993" s="2012">
        <f>'Part VI-Revenues &amp; Expenses'!K231</f>
        <v>12000</v>
      </c>
      <c r="L993" s="2012"/>
      <c r="M993" s="2005" t="str">
        <f>IF(P992&lt;P1001, "WARNING! RR proposed is below the DCA required minimum.","")</f>
        <v/>
      </c>
      <c r="N993" s="457" t="s">
        <v>4679</v>
      </c>
      <c r="O993" s="1311"/>
      <c r="P993" s="2033">
        <f>P992/O1001</f>
        <v>250</v>
      </c>
      <c r="Q993" s="2032"/>
      <c r="R993" s="1979">
        <f>'Part VI-Revenues &amp; Expenses'!R231</f>
        <v>0</v>
      </c>
      <c r="S993" s="1979"/>
      <c r="T993" s="1979"/>
      <c r="U993" s="1979"/>
      <c r="V993" s="1979"/>
      <c r="X993" s="1311"/>
      <c r="Y993" s="1311"/>
      <c r="Z993" s="1311"/>
      <c r="AA993" s="1311"/>
      <c r="AC993" s="1311"/>
      <c r="AD993" s="1311"/>
      <c r="AE993" s="1311"/>
      <c r="AF993" s="1311"/>
      <c r="AH993" s="1311"/>
      <c r="AI993" s="1311"/>
      <c r="AJ993" s="1311"/>
      <c r="AK993" s="1311"/>
      <c r="AM993" s="1311"/>
      <c r="AN993" s="1311"/>
      <c r="AO993" s="1311"/>
      <c r="AP993" s="1311"/>
      <c r="AQ993" s="1311"/>
      <c r="AR993" s="1311"/>
      <c r="AS993" s="1311"/>
      <c r="AT993" s="1311"/>
      <c r="AU993" s="1311"/>
      <c r="AV993" s="1311"/>
      <c r="AW993" s="1311"/>
      <c r="AX993" s="1311"/>
      <c r="AY993" s="1311"/>
      <c r="AZ993" s="1311"/>
      <c r="BA993" s="1311"/>
      <c r="BB993" s="1311"/>
      <c r="BC993" s="1311"/>
      <c r="BD993" s="1311"/>
      <c r="BE993" s="1311"/>
      <c r="BF993" s="1311"/>
      <c r="BG993" s="1311"/>
      <c r="BH993" s="1311"/>
      <c r="BI993" s="1311"/>
      <c r="BJ993" s="1311"/>
      <c r="BK993" s="1311"/>
      <c r="BL993" s="1311"/>
      <c r="BM993" s="1311"/>
      <c r="BN993" s="1311"/>
      <c r="BO993" s="1311"/>
      <c r="BP993" s="1311"/>
      <c r="BQ993" s="1311"/>
      <c r="BR993" s="1311"/>
      <c r="BS993" s="1311"/>
      <c r="BT993" s="1311"/>
      <c r="BU993" s="1311"/>
      <c r="BV993" s="1311"/>
      <c r="BW993" s="1311"/>
      <c r="BX993" s="1311"/>
      <c r="BY993" s="1311"/>
      <c r="BZ993" s="1311"/>
      <c r="CA993" s="1311"/>
      <c r="CB993" s="1311"/>
      <c r="CC993" s="1311"/>
      <c r="CD993" s="1311"/>
      <c r="CE993" s="1311"/>
      <c r="CF993" s="1311"/>
      <c r="CG993" s="1311"/>
      <c r="CH993" s="1311"/>
      <c r="CI993" s="1311"/>
      <c r="CJ993" s="1311"/>
      <c r="CK993" s="1311"/>
      <c r="CL993" s="1311"/>
      <c r="CM993" s="1311"/>
      <c r="CN993" s="1311"/>
      <c r="CO993" s="1311"/>
      <c r="CP993" s="1311"/>
      <c r="CQ993" s="1311"/>
      <c r="CR993" s="1311"/>
      <c r="CS993" s="1311"/>
      <c r="CT993" s="1311"/>
      <c r="CU993" s="1311"/>
      <c r="CV993" s="1311"/>
      <c r="CW993" s="1311"/>
      <c r="CX993" s="1311"/>
      <c r="CY993" s="1311"/>
      <c r="CZ993" s="1311"/>
      <c r="DA993" s="1311"/>
      <c r="DB993" s="1311"/>
      <c r="DC993" s="1311"/>
      <c r="DD993" s="1311"/>
      <c r="DE993" s="1311"/>
      <c r="DF993" s="1311"/>
      <c r="DG993" s="1311"/>
      <c r="DH993" s="1311"/>
      <c r="DI993" s="1311"/>
      <c r="DJ993" s="1311"/>
      <c r="DK993" s="1311"/>
      <c r="DL993" s="1311"/>
      <c r="DM993" s="1311"/>
      <c r="DN993" s="1311"/>
      <c r="DO993" s="1311"/>
      <c r="DP993" s="1311"/>
      <c r="DQ993" s="1311"/>
      <c r="DR993" s="1311"/>
      <c r="DS993" s="1311"/>
      <c r="DT993" s="1311"/>
      <c r="DU993" s="1311"/>
      <c r="DV993" s="1311"/>
      <c r="DW993" s="1311"/>
      <c r="DX993" s="1311"/>
      <c r="DY993" s="1311"/>
      <c r="DZ993" s="1311"/>
      <c r="EA993" s="1311"/>
      <c r="EB993" s="1311"/>
      <c r="EC993" s="1311"/>
      <c r="ED993" s="1311"/>
      <c r="EE993" s="1311"/>
      <c r="EF993" s="1311"/>
      <c r="EG993" s="1311"/>
      <c r="EH993" s="1311"/>
      <c r="EI993" s="1311"/>
      <c r="EJ993" s="1311"/>
      <c r="EK993" s="1311"/>
      <c r="EL993" s="1311"/>
      <c r="EM993" s="1311"/>
      <c r="EN993" s="1311"/>
      <c r="EO993" s="1311"/>
      <c r="EP993" s="1311"/>
      <c r="EQ993" s="1311"/>
      <c r="ER993" s="1311"/>
      <c r="ES993" s="1311"/>
      <c r="ET993" s="1311"/>
      <c r="EU993" s="1311"/>
      <c r="EV993" s="1311"/>
      <c r="EW993" s="1311"/>
      <c r="EX993" s="1311"/>
      <c r="EY993" s="1311"/>
      <c r="EZ993" s="1311"/>
      <c r="FA993" s="1311"/>
      <c r="FB993" s="1311"/>
      <c r="FC993" s="1311"/>
      <c r="FD993" s="1311"/>
      <c r="FE993" s="1311"/>
      <c r="FF993" s="1311"/>
      <c r="FG993" s="1311"/>
      <c r="FH993" s="1311"/>
      <c r="FI993" s="1311"/>
      <c r="FJ993" s="1311"/>
      <c r="FK993" s="1311"/>
      <c r="FL993" s="1311"/>
      <c r="FM993" s="1311"/>
      <c r="FN993" s="1311"/>
      <c r="FO993" s="1311"/>
      <c r="FP993" s="1311"/>
      <c r="FQ993" s="1311"/>
      <c r="FR993" s="1311"/>
      <c r="FS993" s="1311"/>
      <c r="FT993" s="1311"/>
      <c r="FU993" s="1311"/>
      <c r="FV993" s="1311"/>
      <c r="FW993" s="1311"/>
      <c r="FX993" s="1311"/>
      <c r="FY993" s="1311"/>
      <c r="FZ993" s="1311"/>
      <c r="GA993" s="1311"/>
      <c r="GB993" s="1311"/>
      <c r="GC993" s="1311"/>
      <c r="GD993" s="1311"/>
      <c r="GE993" s="1311"/>
      <c r="GF993" s="1311"/>
      <c r="GG993" s="1311"/>
      <c r="GH993" s="1311"/>
      <c r="GI993" s="1311"/>
      <c r="GJ993" s="1311"/>
      <c r="GK993" s="1311"/>
      <c r="GL993" s="1311"/>
      <c r="GM993" s="1311"/>
      <c r="GN993" s="1311"/>
      <c r="GO993" s="1311"/>
      <c r="GP993" s="1311"/>
      <c r="GQ993" s="1311"/>
      <c r="GR993" s="1311"/>
      <c r="GS993" s="1311"/>
      <c r="GT993" s="1311"/>
      <c r="GU993" s="1311"/>
      <c r="GV993" s="1311"/>
      <c r="GW993" s="1311"/>
      <c r="GX993" s="1311"/>
      <c r="GY993" s="1311"/>
      <c r="GZ993" s="1311"/>
      <c r="HA993" s="1311"/>
      <c r="HB993" s="1311"/>
      <c r="HC993" s="1311"/>
      <c r="HD993" s="1311"/>
      <c r="HE993" s="1311"/>
      <c r="HF993" s="1311"/>
      <c r="HG993" s="1311"/>
      <c r="HH993" s="1311"/>
      <c r="HI993" s="1311"/>
      <c r="HJ993" s="1311"/>
      <c r="HK993" s="1311"/>
      <c r="HL993" s="1311"/>
      <c r="HM993" s="1311"/>
      <c r="HN993" s="1311"/>
      <c r="HO993" s="1311"/>
      <c r="HP993" s="1311"/>
      <c r="HQ993" s="1311"/>
      <c r="HR993" s="1311"/>
      <c r="HS993" s="1311"/>
      <c r="HT993" s="1311"/>
      <c r="HU993" s="1311"/>
      <c r="HV993" s="1311"/>
      <c r="HW993" s="1311"/>
      <c r="HX993" s="1311"/>
      <c r="HY993" s="1311"/>
      <c r="HZ993" s="1311"/>
      <c r="IA993" s="1311"/>
      <c r="IB993" s="1311"/>
      <c r="IC993" s="1311"/>
      <c r="ID993" s="1311"/>
      <c r="IE993" s="1311"/>
      <c r="IF993" s="1311"/>
      <c r="IG993" s="1311"/>
      <c r="IH993" s="1311"/>
      <c r="II993" s="1311"/>
      <c r="IJ993" s="1311"/>
      <c r="IK993" s="1311"/>
      <c r="IL993" s="1311"/>
      <c r="IM993" s="1311"/>
      <c r="IN993" s="1311"/>
      <c r="IO993" s="1311"/>
      <c r="IP993" s="1311"/>
      <c r="IQ993" s="1311"/>
      <c r="IR993" s="1311"/>
      <c r="IS993" s="1311"/>
      <c r="IT993" s="1311"/>
      <c r="IU993" s="1311"/>
      <c r="IV993" s="1311"/>
      <c r="IW993" s="1311"/>
      <c r="IX993" s="1311"/>
      <c r="IY993" s="1311"/>
      <c r="IZ993" s="1311"/>
      <c r="JA993" s="1311"/>
      <c r="JB993" s="1311"/>
      <c r="JC993" s="1311"/>
      <c r="JD993" s="1311"/>
      <c r="JE993" s="1311"/>
      <c r="JF993" s="1311"/>
      <c r="JG993" s="1311"/>
      <c r="JH993" s="1311"/>
      <c r="JI993" s="1311"/>
      <c r="JJ993" s="1311"/>
      <c r="JK993" s="1311"/>
      <c r="JL993" s="1311"/>
      <c r="JM993" s="1311"/>
      <c r="JN993" s="1311"/>
      <c r="JO993" s="1311"/>
      <c r="JP993" s="1311"/>
      <c r="JQ993" s="1311"/>
      <c r="JR993" s="1311"/>
      <c r="JS993" s="1311"/>
      <c r="JT993" s="1311"/>
      <c r="JU993" s="1311"/>
      <c r="JV993" s="1955"/>
      <c r="JW993" s="1311"/>
      <c r="JX993" s="1311"/>
      <c r="JY993" s="1311"/>
      <c r="JZ993" s="1311"/>
      <c r="KA993" s="1955"/>
      <c r="KB993" s="1955"/>
      <c r="KC993" s="1955"/>
      <c r="KD993" s="1955"/>
      <c r="KE993" s="1955"/>
      <c r="KF993" s="1955"/>
      <c r="KG993" s="1955"/>
      <c r="KH993" s="1955"/>
      <c r="KI993" s="1955"/>
      <c r="KJ993" s="1955"/>
      <c r="KK993" s="1955"/>
      <c r="KL993" s="1955"/>
      <c r="KM993" s="1955"/>
      <c r="KN993" s="1955"/>
      <c r="KO993" s="1955"/>
      <c r="KP993" s="1955"/>
      <c r="KQ993" s="1955"/>
      <c r="KR993" s="1955"/>
      <c r="KS993" s="1955"/>
      <c r="KT993" s="1955"/>
      <c r="KU993" s="1955"/>
      <c r="KV993" s="1955"/>
      <c r="KW993" s="1955"/>
      <c r="KX993" s="1955"/>
      <c r="KY993" s="1955"/>
      <c r="KZ993" s="1955"/>
      <c r="LA993" s="1955"/>
      <c r="LB993" s="1955"/>
      <c r="LC993" s="1955"/>
      <c r="LD993" s="1955"/>
      <c r="LE993" s="1955"/>
      <c r="LF993" s="1955"/>
      <c r="LG993" s="1311"/>
      <c r="LH993" s="1311"/>
      <c r="LI993" s="1311"/>
      <c r="LJ993" s="1311"/>
      <c r="LK993" s="1311"/>
      <c r="LL993" s="1311"/>
      <c r="LM993" s="1311"/>
      <c r="LN993" s="1311"/>
      <c r="LO993" s="1311"/>
      <c r="LP993" s="1311"/>
      <c r="LQ993" s="1311"/>
      <c r="LR993" s="1311"/>
      <c r="LS993" s="1311"/>
      <c r="LT993" s="1311"/>
      <c r="LU993" s="1311"/>
      <c r="LV993" s="1311"/>
      <c r="LW993" s="1311"/>
      <c r="LX993" s="1311"/>
      <c r="LY993" s="1311"/>
      <c r="LZ993" s="1311"/>
      <c r="MA993" s="1311"/>
      <c r="MB993" s="1311"/>
      <c r="MC993" s="1311"/>
      <c r="MD993" s="1311"/>
      <c r="ME993" s="1311"/>
      <c r="MF993" s="1311"/>
      <c r="MG993" s="1311"/>
      <c r="MH993" s="1311"/>
      <c r="MI993" s="1311"/>
      <c r="MJ993" s="1311"/>
      <c r="MK993" s="1311"/>
      <c r="ML993" s="1311"/>
      <c r="MM993" s="1311"/>
      <c r="MN993" s="1311"/>
      <c r="MO993" s="1311"/>
      <c r="MP993" s="1311"/>
      <c r="MQ993" s="1311"/>
      <c r="MR993" s="1311"/>
      <c r="MS993" s="1311"/>
    </row>
    <row r="994" spans="1:357" ht="13.8">
      <c r="A994" s="1311"/>
      <c r="B994" s="1311" t="s">
        <v>1586</v>
      </c>
      <c r="C994" s="1311"/>
      <c r="D994" s="2028"/>
      <c r="E994" s="1311"/>
      <c r="F994" s="2012">
        <f>'Part VI-Revenues &amp; Expenses'!F232</f>
        <v>10000</v>
      </c>
      <c r="G994" s="2012"/>
      <c r="H994" s="1311"/>
      <c r="I994" s="1311" t="s">
        <v>1354</v>
      </c>
      <c r="J994" s="1839">
        <f>K994/12/O829</f>
        <v>0</v>
      </c>
      <c r="K994" s="2012">
        <f>'Part VI-Revenues &amp; Expenses'!K232</f>
        <v>0</v>
      </c>
      <c r="L994" s="2012"/>
      <c r="M994" s="2005"/>
      <c r="N994" s="2034" t="s">
        <v>3632</v>
      </c>
      <c r="O994" s="2034"/>
      <c r="P994" s="2034"/>
      <c r="Q994" s="1311"/>
      <c r="R994" s="1979">
        <f>'Part VI-Revenues &amp; Expenses'!R232</f>
        <v>0</v>
      </c>
      <c r="S994" s="1979"/>
      <c r="T994" s="1979"/>
      <c r="U994" s="1979"/>
      <c r="V994" s="1979"/>
      <c r="X994" s="1311"/>
      <c r="Y994" s="1311"/>
      <c r="Z994" s="1311"/>
      <c r="AA994" s="1311"/>
      <c r="AC994" s="1311"/>
      <c r="AD994" s="1311"/>
      <c r="AE994" s="1311"/>
      <c r="AF994" s="1311"/>
      <c r="AH994" s="1311"/>
      <c r="AI994" s="1311"/>
      <c r="AJ994" s="1311"/>
      <c r="AK994" s="1311"/>
      <c r="AM994" s="1311"/>
      <c r="AN994" s="1311"/>
      <c r="AO994" s="1311"/>
      <c r="AP994" s="1311"/>
      <c r="AQ994" s="1311"/>
      <c r="AR994" s="1311"/>
      <c r="AS994" s="1311"/>
      <c r="AT994" s="1311"/>
      <c r="AU994" s="1311"/>
      <c r="AV994" s="1311"/>
      <c r="AW994" s="1311"/>
      <c r="AX994" s="1311"/>
      <c r="AY994" s="1311"/>
      <c r="AZ994" s="1311"/>
      <c r="BA994" s="1311"/>
      <c r="BB994" s="1311"/>
      <c r="BC994" s="1311"/>
      <c r="BD994" s="1311"/>
      <c r="BE994" s="1311"/>
      <c r="BF994" s="1311"/>
      <c r="BG994" s="1311"/>
      <c r="BH994" s="1311"/>
      <c r="BI994" s="1311"/>
      <c r="BJ994" s="1311"/>
      <c r="BK994" s="1311"/>
      <c r="BL994" s="1311"/>
      <c r="BM994" s="1311"/>
      <c r="BN994" s="1311"/>
      <c r="BO994" s="1311"/>
      <c r="BP994" s="1311"/>
      <c r="BQ994" s="1311"/>
      <c r="BR994" s="1311"/>
      <c r="BS994" s="1311"/>
      <c r="BT994" s="1311"/>
      <c r="BU994" s="1311"/>
      <c r="BV994" s="1311"/>
      <c r="BW994" s="1311"/>
      <c r="BX994" s="1311"/>
      <c r="BY994" s="1311"/>
      <c r="BZ994" s="1311"/>
      <c r="CA994" s="1311"/>
      <c r="CB994" s="1311"/>
      <c r="CC994" s="1311"/>
      <c r="CD994" s="1311"/>
      <c r="CE994" s="1311"/>
      <c r="CF994" s="1311"/>
      <c r="CG994" s="1311"/>
      <c r="CH994" s="1311"/>
      <c r="CI994" s="1311"/>
      <c r="CJ994" s="1311"/>
      <c r="CK994" s="1311"/>
      <c r="CL994" s="1311"/>
      <c r="CM994" s="1311"/>
      <c r="CN994" s="1311"/>
      <c r="CO994" s="1311"/>
      <c r="CP994" s="1311"/>
      <c r="CQ994" s="1311"/>
      <c r="CR994" s="1311"/>
      <c r="CS994" s="1311"/>
      <c r="CT994" s="1311"/>
      <c r="CU994" s="1311"/>
      <c r="CV994" s="1311"/>
      <c r="CW994" s="1311"/>
      <c r="CX994" s="1311"/>
      <c r="CY994" s="1311"/>
      <c r="CZ994" s="1311"/>
      <c r="DA994" s="1311"/>
      <c r="DB994" s="1311"/>
      <c r="DC994" s="1311"/>
      <c r="DD994" s="1311"/>
      <c r="DE994" s="1311"/>
      <c r="DF994" s="1311"/>
      <c r="DG994" s="1311"/>
      <c r="DH994" s="1311"/>
      <c r="DI994" s="1311"/>
      <c r="DJ994" s="1311"/>
      <c r="DK994" s="1311"/>
      <c r="DL994" s="1311"/>
      <c r="DM994" s="1311"/>
      <c r="DN994" s="1311"/>
      <c r="DO994" s="1311"/>
      <c r="DP994" s="1311"/>
      <c r="DQ994" s="1311"/>
      <c r="DR994" s="1311"/>
      <c r="DS994" s="1311"/>
      <c r="DT994" s="1311"/>
      <c r="DU994" s="1311"/>
      <c r="DV994" s="1311"/>
      <c r="DW994" s="1311"/>
      <c r="DX994" s="1311"/>
      <c r="DY994" s="1311"/>
      <c r="DZ994" s="1311"/>
      <c r="EA994" s="1311"/>
      <c r="EB994" s="1311"/>
      <c r="EC994" s="1311"/>
      <c r="ED994" s="1311"/>
      <c r="EE994" s="1311"/>
      <c r="EF994" s="1311"/>
      <c r="EG994" s="1311"/>
      <c r="EH994" s="1311"/>
      <c r="EI994" s="1311"/>
      <c r="EJ994" s="1311"/>
      <c r="EK994" s="1311"/>
      <c r="EL994" s="1311"/>
      <c r="EM994" s="1311"/>
      <c r="EN994" s="1311"/>
      <c r="EO994" s="1311"/>
      <c r="EP994" s="1311"/>
      <c r="EQ994" s="1311"/>
      <c r="ER994" s="1311"/>
      <c r="ES994" s="1311"/>
      <c r="ET994" s="1311"/>
      <c r="EU994" s="1311"/>
      <c r="EV994" s="1311"/>
      <c r="EW994" s="1311"/>
      <c r="EX994" s="1311"/>
      <c r="EY994" s="1311"/>
      <c r="EZ994" s="1311"/>
      <c r="FA994" s="1311"/>
      <c r="FB994" s="1311"/>
      <c r="FC994" s="1311"/>
      <c r="FD994" s="1311"/>
      <c r="FE994" s="1311"/>
      <c r="FF994" s="1311"/>
      <c r="FG994" s="1311"/>
      <c r="FH994" s="1311"/>
      <c r="FI994" s="1311"/>
      <c r="FJ994" s="1311"/>
      <c r="FK994" s="1311"/>
      <c r="FL994" s="1311"/>
      <c r="FM994" s="1311"/>
      <c r="FN994" s="1311"/>
      <c r="FO994" s="1311"/>
      <c r="FP994" s="1311"/>
      <c r="FQ994" s="1311"/>
      <c r="FR994" s="1311"/>
      <c r="FS994" s="1311"/>
      <c r="FT994" s="1311"/>
      <c r="FU994" s="1311"/>
      <c r="FV994" s="1311"/>
      <c r="FW994" s="1311"/>
      <c r="FX994" s="1311"/>
      <c r="FY994" s="1311"/>
      <c r="FZ994" s="1311"/>
      <c r="GA994" s="1311"/>
      <c r="GB994" s="1311"/>
      <c r="GC994" s="1311"/>
      <c r="GD994" s="1311"/>
      <c r="GE994" s="1311"/>
      <c r="GF994" s="1311"/>
      <c r="GG994" s="1311"/>
      <c r="GH994" s="1311"/>
      <c r="GI994" s="1311"/>
      <c r="GJ994" s="1311"/>
      <c r="GK994" s="1311"/>
      <c r="GL994" s="1311"/>
      <c r="GM994" s="1311"/>
      <c r="GN994" s="1311"/>
      <c r="GO994" s="1311"/>
      <c r="GP994" s="1311"/>
      <c r="GQ994" s="1311"/>
      <c r="GR994" s="1311"/>
      <c r="GS994" s="1311"/>
      <c r="GT994" s="1311"/>
      <c r="GU994" s="1311"/>
      <c r="GV994" s="1311"/>
      <c r="GW994" s="1311"/>
      <c r="GX994" s="1311"/>
      <c r="GY994" s="1311"/>
      <c r="GZ994" s="1311"/>
      <c r="HA994" s="1311"/>
      <c r="HB994" s="1311"/>
      <c r="HC994" s="1311"/>
      <c r="HD994" s="1311"/>
      <c r="HE994" s="1311"/>
      <c r="HF994" s="1311"/>
      <c r="HG994" s="1311"/>
      <c r="HH994" s="1311"/>
      <c r="HI994" s="1311"/>
      <c r="HJ994" s="1311"/>
      <c r="HK994" s="1311"/>
      <c r="HL994" s="1311"/>
      <c r="HM994" s="1311"/>
      <c r="HN994" s="1311"/>
      <c r="HO994" s="1311"/>
      <c r="HP994" s="1311"/>
      <c r="HQ994" s="1311"/>
      <c r="HR994" s="1311"/>
      <c r="HS994" s="1311"/>
      <c r="HT994" s="1311"/>
      <c r="HU994" s="1311"/>
      <c r="HV994" s="1311"/>
      <c r="HW994" s="1311"/>
      <c r="HX994" s="1311"/>
      <c r="HY994" s="1311"/>
      <c r="HZ994" s="1311"/>
      <c r="IA994" s="1311"/>
      <c r="IB994" s="1311"/>
      <c r="IC994" s="1311"/>
      <c r="ID994" s="1311"/>
      <c r="IE994" s="1311"/>
      <c r="IF994" s="1311"/>
      <c r="IG994" s="1311"/>
      <c r="IH994" s="1311"/>
      <c r="II994" s="1311"/>
      <c r="IJ994" s="1311"/>
      <c r="IK994" s="1311"/>
      <c r="IL994" s="1311"/>
      <c r="IM994" s="1311"/>
      <c r="IN994" s="1311"/>
      <c r="IO994" s="1311"/>
      <c r="IP994" s="1311"/>
      <c r="IQ994" s="1311"/>
      <c r="IR994" s="1311"/>
      <c r="IS994" s="1311"/>
      <c r="IT994" s="1311"/>
      <c r="IU994" s="1311"/>
      <c r="IV994" s="1311"/>
      <c r="IW994" s="1311"/>
      <c r="IX994" s="1311"/>
      <c r="IY994" s="1311"/>
      <c r="IZ994" s="1311"/>
      <c r="JA994" s="1311"/>
      <c r="JB994" s="1311"/>
      <c r="JC994" s="1311"/>
      <c r="JD994" s="1311"/>
      <c r="JE994" s="1311"/>
      <c r="JF994" s="1311"/>
      <c r="JG994" s="1311"/>
      <c r="JH994" s="1311"/>
      <c r="JI994" s="1311"/>
      <c r="JJ994" s="1311"/>
      <c r="JK994" s="1311"/>
      <c r="JL994" s="1311"/>
      <c r="JM994" s="1311"/>
      <c r="JN994" s="1311"/>
      <c r="JO994" s="1311"/>
      <c r="JP994" s="1311"/>
      <c r="JQ994" s="1311"/>
      <c r="JR994" s="1311"/>
      <c r="JS994" s="1311"/>
      <c r="JT994" s="1311"/>
      <c r="JU994" s="1311"/>
      <c r="JV994" s="1955"/>
      <c r="JW994" s="1311"/>
      <c r="JX994" s="1311"/>
      <c r="JY994" s="1311"/>
      <c r="JZ994" s="1311"/>
      <c r="KA994" s="1955"/>
      <c r="KB994" s="1955"/>
      <c r="KC994" s="1955"/>
      <c r="KD994" s="1955"/>
      <c r="KE994" s="1955"/>
      <c r="KF994" s="1955"/>
      <c r="KG994" s="1955"/>
      <c r="KH994" s="1955"/>
      <c r="KI994" s="1955"/>
      <c r="KJ994" s="1955"/>
      <c r="KK994" s="1955"/>
      <c r="KL994" s="1955"/>
      <c r="KM994" s="1955"/>
      <c r="KN994" s="1955"/>
      <c r="KO994" s="1955"/>
      <c r="KP994" s="1955"/>
      <c r="KQ994" s="1955"/>
      <c r="KR994" s="1955"/>
      <c r="KS994" s="1955"/>
      <c r="KT994" s="1955"/>
      <c r="KU994" s="1955"/>
      <c r="KV994" s="1955"/>
      <c r="KW994" s="1955"/>
      <c r="KX994" s="1955"/>
      <c r="KY994" s="1955"/>
      <c r="KZ994" s="1955"/>
      <c r="LA994" s="1955"/>
      <c r="LB994" s="1955"/>
      <c r="LC994" s="1955"/>
      <c r="LD994" s="1955"/>
      <c r="LE994" s="1955"/>
      <c r="LF994" s="1955"/>
      <c r="LG994" s="1311"/>
      <c r="LH994" s="1311"/>
      <c r="LI994" s="1311"/>
      <c r="LJ994" s="1311"/>
      <c r="LK994" s="1311"/>
      <c r="LL994" s="1311"/>
      <c r="LM994" s="1311"/>
      <c r="LN994" s="1311"/>
      <c r="LO994" s="1311"/>
      <c r="LP994" s="1311"/>
      <c r="LQ994" s="1311"/>
      <c r="LR994" s="1311"/>
      <c r="LS994" s="1311"/>
      <c r="LT994" s="1311"/>
      <c r="LU994" s="1311"/>
      <c r="LV994" s="1311"/>
      <c r="LW994" s="1311"/>
      <c r="LX994" s="1311"/>
      <c r="LY994" s="1311"/>
      <c r="LZ994" s="1311"/>
      <c r="MA994" s="1311"/>
      <c r="MB994" s="1311"/>
      <c r="MC994" s="1311"/>
      <c r="MD994" s="1311"/>
      <c r="ME994" s="1311"/>
      <c r="MF994" s="1311"/>
      <c r="MG994" s="1311"/>
      <c r="MH994" s="1311"/>
      <c r="MI994" s="1311"/>
      <c r="MJ994" s="1311"/>
      <c r="MK994" s="1311"/>
      <c r="ML994" s="1311"/>
      <c r="MM994" s="1311"/>
      <c r="MN994" s="1311"/>
      <c r="MO994" s="1311"/>
      <c r="MP994" s="1311"/>
      <c r="MQ994" s="1311"/>
      <c r="MR994" s="1311"/>
      <c r="MS994" s="1311"/>
    </row>
    <row r="995" spans="1:357" ht="13.8">
      <c r="A995" s="1311"/>
      <c r="B995" s="1311" t="s">
        <v>1587</v>
      </c>
      <c r="C995" s="1311"/>
      <c r="D995" s="2028"/>
      <c r="E995" s="1311"/>
      <c r="F995" s="2012">
        <f>'Part VI-Revenues &amp; Expenses'!F233</f>
        <v>12500</v>
      </c>
      <c r="G995" s="2012"/>
      <c r="H995" s="1311"/>
      <c r="I995" s="1311" t="s">
        <v>2323</v>
      </c>
      <c r="J995" s="1839">
        <f>K995/12/O829</f>
        <v>8.0357142857142865</v>
      </c>
      <c r="K995" s="2012">
        <f>'Part VI-Revenues &amp; Expenses'!K233</f>
        <v>8100</v>
      </c>
      <c r="L995" s="2012"/>
      <c r="M995" s="2005"/>
      <c r="N995" s="2035" t="s">
        <v>2675</v>
      </c>
      <c r="O995" s="2036" t="s">
        <v>3721</v>
      </c>
      <c r="P995" s="2036" t="s">
        <v>3373</v>
      </c>
      <c r="Q995" s="2036"/>
      <c r="R995" s="1979">
        <f>'Part VI-Revenues &amp; Expenses'!R233</f>
        <v>0</v>
      </c>
      <c r="S995" s="1979"/>
      <c r="T995" s="1979"/>
      <c r="U995" s="1979"/>
      <c r="V995" s="1979"/>
      <c r="X995" s="1311"/>
      <c r="Y995" s="1311"/>
      <c r="Z995" s="1311"/>
      <c r="AA995" s="1311"/>
      <c r="AC995" s="1311"/>
      <c r="AD995" s="1311"/>
      <c r="AE995" s="1311"/>
      <c r="AF995" s="1311"/>
      <c r="AH995" s="1311"/>
      <c r="AI995" s="1311"/>
      <c r="AJ995" s="1311"/>
      <c r="AK995" s="1311"/>
      <c r="AM995" s="1311"/>
      <c r="AN995" s="1311"/>
      <c r="AO995" s="1311"/>
      <c r="AP995" s="1311"/>
      <c r="AQ995" s="1311"/>
      <c r="AR995" s="1311"/>
      <c r="AS995" s="1311"/>
      <c r="AT995" s="1311"/>
      <c r="AU995" s="1311"/>
      <c r="AV995" s="1311"/>
      <c r="AW995" s="1311"/>
      <c r="AX995" s="1311"/>
      <c r="AY995" s="1311"/>
      <c r="AZ995" s="1311"/>
      <c r="BA995" s="1311"/>
      <c r="BB995" s="1311"/>
      <c r="BC995" s="1311"/>
      <c r="BD995" s="1311"/>
      <c r="BE995" s="1311"/>
      <c r="BF995" s="1311"/>
      <c r="BG995" s="1311"/>
      <c r="BH995" s="1311"/>
      <c r="BI995" s="1311"/>
      <c r="BJ995" s="1311"/>
      <c r="BK995" s="1311"/>
      <c r="BL995" s="1311"/>
      <c r="BM995" s="1311"/>
      <c r="BN995" s="1311"/>
      <c r="BO995" s="1311"/>
      <c r="BP995" s="1311"/>
      <c r="BQ995" s="1311"/>
      <c r="BR995" s="1311"/>
      <c r="BS995" s="1311"/>
      <c r="BT995" s="1311"/>
      <c r="BU995" s="1311"/>
      <c r="BV995" s="1311"/>
      <c r="BW995" s="1311"/>
      <c r="BX995" s="1311"/>
      <c r="BY995" s="1311"/>
      <c r="BZ995" s="1311"/>
      <c r="CA995" s="1311"/>
      <c r="CB995" s="1311"/>
      <c r="CC995" s="1311"/>
      <c r="CD995" s="1311"/>
      <c r="CE995" s="1311"/>
      <c r="CF995" s="1311"/>
      <c r="CG995" s="1311"/>
      <c r="CH995" s="1311"/>
      <c r="CI995" s="1311"/>
      <c r="CJ995" s="1311"/>
      <c r="CK995" s="1311"/>
      <c r="CL995" s="1311"/>
      <c r="CM995" s="1311"/>
      <c r="CN995" s="1311"/>
      <c r="CO995" s="1311"/>
      <c r="CP995" s="1311"/>
      <c r="CQ995" s="1311"/>
      <c r="CR995" s="1311"/>
      <c r="CS995" s="1311"/>
      <c r="CT995" s="1311"/>
      <c r="CU995" s="1311"/>
      <c r="CV995" s="1311"/>
      <c r="CW995" s="1311"/>
      <c r="CX995" s="1311"/>
      <c r="CY995" s="1311"/>
      <c r="CZ995" s="1311"/>
      <c r="DA995" s="1311"/>
      <c r="DB995" s="1311"/>
      <c r="DC995" s="1311"/>
      <c r="DD995" s="1311"/>
      <c r="DE995" s="1311"/>
      <c r="DF995" s="1311"/>
      <c r="DG995" s="1311"/>
      <c r="DH995" s="1311"/>
      <c r="DI995" s="1311"/>
      <c r="DJ995" s="1311"/>
      <c r="DK995" s="1311"/>
      <c r="DL995" s="1311"/>
      <c r="DM995" s="1311"/>
      <c r="DN995" s="1311"/>
      <c r="DO995" s="1311"/>
      <c r="DP995" s="1311"/>
      <c r="DQ995" s="1311"/>
      <c r="DR995" s="1311"/>
      <c r="DS995" s="1311"/>
      <c r="DT995" s="1311"/>
      <c r="DU995" s="1311"/>
      <c r="DV995" s="1311"/>
      <c r="DW995" s="1311"/>
      <c r="DX995" s="1311"/>
      <c r="DY995" s="1311"/>
      <c r="DZ995" s="1311"/>
      <c r="EA995" s="1311"/>
      <c r="EB995" s="1311"/>
      <c r="EC995" s="1311"/>
      <c r="ED995" s="1311"/>
      <c r="EE995" s="1311"/>
      <c r="EF995" s="1311"/>
      <c r="EG995" s="1311"/>
      <c r="EH995" s="1311"/>
      <c r="EI995" s="1311"/>
      <c r="EJ995" s="1311"/>
      <c r="EK995" s="1311"/>
      <c r="EL995" s="1311"/>
      <c r="EM995" s="1311"/>
      <c r="EN995" s="1311"/>
      <c r="EO995" s="1311"/>
      <c r="EP995" s="1311"/>
      <c r="EQ995" s="1311"/>
      <c r="ER995" s="1311"/>
      <c r="ES995" s="1311"/>
      <c r="ET995" s="1311"/>
      <c r="EU995" s="1311"/>
      <c r="EV995" s="1311"/>
      <c r="EW995" s="1311"/>
      <c r="EX995" s="1311"/>
      <c r="EY995" s="1311"/>
      <c r="EZ995" s="1311"/>
      <c r="FA995" s="1311"/>
      <c r="FB995" s="1311"/>
      <c r="FC995" s="1311"/>
      <c r="FD995" s="1311"/>
      <c r="FE995" s="1311"/>
      <c r="FF995" s="1311"/>
      <c r="FG995" s="1311"/>
      <c r="FH995" s="1311"/>
      <c r="FI995" s="1311"/>
      <c r="FJ995" s="1311"/>
      <c r="FK995" s="1311"/>
      <c r="FL995" s="1311"/>
      <c r="FM995" s="1311"/>
      <c r="FN995" s="1311"/>
      <c r="FO995" s="1311"/>
      <c r="FP995" s="1311"/>
      <c r="FQ995" s="1311"/>
      <c r="FR995" s="1311"/>
      <c r="FS995" s="1311"/>
      <c r="FT995" s="1311"/>
      <c r="FU995" s="1311"/>
      <c r="FV995" s="1311"/>
      <c r="FW995" s="1311"/>
      <c r="FX995" s="1311"/>
      <c r="FY995" s="1311"/>
      <c r="FZ995" s="1311"/>
      <c r="GA995" s="1311"/>
      <c r="GB995" s="1311"/>
      <c r="GC995" s="1311"/>
      <c r="GD995" s="1311"/>
      <c r="GE995" s="1311"/>
      <c r="GF995" s="1311"/>
      <c r="GG995" s="1311"/>
      <c r="GH995" s="1311"/>
      <c r="GI995" s="1311"/>
      <c r="GJ995" s="1311"/>
      <c r="GK995" s="1311"/>
      <c r="GL995" s="1311"/>
      <c r="GM995" s="1311"/>
      <c r="GN995" s="1311"/>
      <c r="GO995" s="1311"/>
      <c r="GP995" s="1311"/>
      <c r="GQ995" s="1311"/>
      <c r="GR995" s="1311"/>
      <c r="GS995" s="1311"/>
      <c r="GT995" s="1311"/>
      <c r="GU995" s="1311"/>
      <c r="GV995" s="1311"/>
      <c r="GW995" s="1311"/>
      <c r="GX995" s="1311"/>
      <c r="GY995" s="1311"/>
      <c r="GZ995" s="1311"/>
      <c r="HA995" s="1311"/>
      <c r="HB995" s="1311"/>
      <c r="HC995" s="1311"/>
      <c r="HD995" s="1311"/>
      <c r="HE995" s="1311"/>
      <c r="HF995" s="1311"/>
      <c r="HG995" s="1311"/>
      <c r="HH995" s="1311"/>
      <c r="HI995" s="1311"/>
      <c r="HJ995" s="1311"/>
      <c r="HK995" s="1311"/>
      <c r="HL995" s="1311"/>
      <c r="HM995" s="1311"/>
      <c r="HN995" s="1311"/>
      <c r="HO995" s="1311"/>
      <c r="HP995" s="1311"/>
      <c r="HQ995" s="1311"/>
      <c r="HR995" s="1311"/>
      <c r="HS995" s="1311"/>
      <c r="HT995" s="1311"/>
      <c r="HU995" s="1311"/>
      <c r="HV995" s="1311"/>
      <c r="HW995" s="1311"/>
      <c r="HX995" s="1311"/>
      <c r="HY995" s="1311"/>
      <c r="HZ995" s="1311"/>
      <c r="IA995" s="1311"/>
      <c r="IB995" s="1311"/>
      <c r="IC995" s="1311"/>
      <c r="ID995" s="1311"/>
      <c r="IE995" s="1311"/>
      <c r="IF995" s="1311"/>
      <c r="IG995" s="1311"/>
      <c r="IH995" s="1311"/>
      <c r="II995" s="1311"/>
      <c r="IJ995" s="1311"/>
      <c r="IK995" s="1311"/>
      <c r="IL995" s="1311"/>
      <c r="IM995" s="1311"/>
      <c r="IN995" s="1311"/>
      <c r="IO995" s="1311"/>
      <c r="IP995" s="1311"/>
      <c r="IQ995" s="1311"/>
      <c r="IR995" s="1311"/>
      <c r="IS995" s="1311"/>
      <c r="IT995" s="1311"/>
      <c r="IU995" s="1311"/>
      <c r="IV995" s="1311"/>
      <c r="IW995" s="1311"/>
      <c r="IX995" s="1311"/>
      <c r="IY995" s="1311"/>
      <c r="IZ995" s="1311"/>
      <c r="JA995" s="1311"/>
      <c r="JB995" s="1311"/>
      <c r="JC995" s="1311"/>
      <c r="JD995" s="1311"/>
      <c r="JE995" s="1311"/>
      <c r="JF995" s="1311"/>
      <c r="JG995" s="1311"/>
      <c r="JH995" s="1311"/>
      <c r="JI995" s="1311"/>
      <c r="JJ995" s="1311"/>
      <c r="JK995" s="1311"/>
      <c r="JL995" s="1311"/>
      <c r="JM995" s="1311"/>
      <c r="JN995" s="1311"/>
      <c r="JO995" s="1311"/>
      <c r="JP995" s="1311"/>
      <c r="JQ995" s="1311"/>
      <c r="JR995" s="1311"/>
      <c r="JS995" s="1311"/>
      <c r="JT995" s="1311"/>
      <c r="JU995" s="1311"/>
      <c r="JV995" s="1955"/>
      <c r="JW995" s="1311"/>
      <c r="JX995" s="1311"/>
      <c r="JY995" s="1311"/>
      <c r="JZ995" s="1311"/>
      <c r="KA995" s="1955"/>
      <c r="KB995" s="1955"/>
      <c r="KC995" s="1955"/>
      <c r="KD995" s="1955"/>
      <c r="KE995" s="1955"/>
      <c r="KF995" s="1955"/>
      <c r="KG995" s="1955"/>
      <c r="KH995" s="1955"/>
      <c r="KI995" s="1955"/>
      <c r="KJ995" s="1955"/>
      <c r="KK995" s="1955"/>
      <c r="KL995" s="1955"/>
      <c r="KM995" s="1955"/>
      <c r="KN995" s="1955"/>
      <c r="KO995" s="1955"/>
      <c r="KP995" s="1955"/>
      <c r="KQ995" s="1955"/>
      <c r="KR995" s="1955"/>
      <c r="KS995" s="1955"/>
      <c r="KT995" s="1955"/>
      <c r="KU995" s="1955"/>
      <c r="KV995" s="1955"/>
      <c r="KW995" s="1955"/>
      <c r="KX995" s="1955"/>
      <c r="KY995" s="1955"/>
      <c r="KZ995" s="1955"/>
      <c r="LA995" s="1955"/>
      <c r="LB995" s="1955"/>
      <c r="LC995" s="1955"/>
      <c r="LD995" s="1955"/>
      <c r="LE995" s="1955"/>
      <c r="LF995" s="1955"/>
      <c r="LG995" s="1311"/>
      <c r="LH995" s="1311"/>
      <c r="LI995" s="1311"/>
      <c r="LJ995" s="1311"/>
      <c r="LK995" s="1311"/>
      <c r="LL995" s="1311"/>
      <c r="LM995" s="1311"/>
      <c r="LN995" s="1311"/>
      <c r="LO995" s="1311"/>
      <c r="LP995" s="1311"/>
      <c r="LQ995" s="1311"/>
      <c r="LR995" s="1311"/>
      <c r="LS995" s="1311"/>
      <c r="LT995" s="1311"/>
      <c r="LU995" s="1311"/>
      <c r="LV995" s="1311"/>
      <c r="LW995" s="1311"/>
      <c r="LX995" s="1311"/>
      <c r="LY995" s="1311"/>
      <c r="LZ995" s="1311"/>
      <c r="MA995" s="1311"/>
      <c r="MB995" s="1311"/>
      <c r="MC995" s="1311"/>
      <c r="MD995" s="1311"/>
      <c r="ME995" s="1311"/>
      <c r="MF995" s="1311"/>
      <c r="MG995" s="1311"/>
      <c r="MH995" s="1311"/>
      <c r="MI995" s="1311"/>
      <c r="MJ995" s="1311"/>
      <c r="MK995" s="1311"/>
      <c r="ML995" s="1311"/>
      <c r="MM995" s="1311"/>
      <c r="MN995" s="1311"/>
      <c r="MO995" s="1311"/>
      <c r="MP995" s="1311"/>
      <c r="MQ995" s="1311"/>
      <c r="MR995" s="1311"/>
      <c r="MS995" s="1311"/>
    </row>
    <row r="996" spans="1:357">
      <c r="A996" s="1311"/>
      <c r="B996" s="1311" t="s">
        <v>990</v>
      </c>
      <c r="C996" s="1311"/>
      <c r="D996" s="2028"/>
      <c r="E996" s="1311"/>
      <c r="F996" s="2012">
        <f>'Part VI-Revenues &amp; Expenses'!F234</f>
        <v>7500</v>
      </c>
      <c r="G996" s="2012"/>
      <c r="H996" s="1311"/>
      <c r="I996" s="1311" t="s">
        <v>1356</v>
      </c>
      <c r="J996" s="1311"/>
      <c r="K996" s="2012">
        <f>'Part VI-Revenues &amp; Expenses'!K234</f>
        <v>12000</v>
      </c>
      <c r="L996" s="2012"/>
      <c r="M996" s="2005"/>
      <c r="N996" s="2037" t="s">
        <v>37</v>
      </c>
      <c r="O996" s="1311"/>
      <c r="P996" s="1311"/>
      <c r="Q996" s="1311"/>
      <c r="R996" s="1979">
        <f>'Part VI-Revenues &amp; Expenses'!R234</f>
        <v>0</v>
      </c>
      <c r="S996" s="1979"/>
      <c r="T996" s="1979"/>
      <c r="U996" s="1979"/>
      <c r="V996" s="1979"/>
      <c r="X996" s="1311"/>
      <c r="Y996" s="1311"/>
      <c r="Z996" s="1311"/>
      <c r="AA996" s="1311"/>
      <c r="AC996" s="1311"/>
      <c r="AD996" s="1311"/>
      <c r="AE996" s="1311"/>
      <c r="AF996" s="1311"/>
      <c r="AH996" s="1311"/>
      <c r="AI996" s="1311"/>
      <c r="AJ996" s="1311"/>
      <c r="AK996" s="1311"/>
      <c r="AM996" s="1311"/>
      <c r="AN996" s="1311"/>
      <c r="AO996" s="1311"/>
      <c r="AP996" s="1311"/>
      <c r="AQ996" s="1311"/>
      <c r="AR996" s="1311"/>
      <c r="AS996" s="1311"/>
      <c r="AT996" s="1311"/>
      <c r="AU996" s="1311"/>
      <c r="AV996" s="1311"/>
      <c r="AW996" s="1311"/>
      <c r="AX996" s="1311"/>
      <c r="AY996" s="1311"/>
      <c r="AZ996" s="1311"/>
      <c r="BA996" s="1311"/>
      <c r="BB996" s="1311"/>
      <c r="BC996" s="1311"/>
      <c r="BD996" s="1311"/>
      <c r="BE996" s="1311"/>
      <c r="BF996" s="1311"/>
      <c r="BG996" s="1311"/>
      <c r="BH996" s="1311"/>
      <c r="BI996" s="1311"/>
      <c r="BJ996" s="1311"/>
      <c r="BK996" s="1311"/>
      <c r="BL996" s="1311"/>
      <c r="BM996" s="1311"/>
      <c r="BN996" s="1311"/>
      <c r="BO996" s="1311"/>
      <c r="BP996" s="1311"/>
      <c r="BQ996" s="1311"/>
      <c r="BR996" s="1311"/>
      <c r="BS996" s="1311"/>
      <c r="BT996" s="1311"/>
      <c r="BU996" s="1311"/>
      <c r="BV996" s="1311"/>
      <c r="BW996" s="1311"/>
      <c r="BX996" s="1311"/>
      <c r="BY996" s="1311"/>
      <c r="BZ996" s="1311"/>
      <c r="CA996" s="1311"/>
      <c r="CB996" s="1311"/>
      <c r="CC996" s="1311"/>
      <c r="CD996" s="1311"/>
      <c r="CE996" s="1311"/>
      <c r="CF996" s="1311"/>
      <c r="CG996" s="1311"/>
      <c r="CH996" s="1311"/>
      <c r="CI996" s="1311"/>
      <c r="CJ996" s="1311"/>
      <c r="CK996" s="1311"/>
      <c r="CL996" s="1311"/>
      <c r="CM996" s="1311"/>
      <c r="CN996" s="1311"/>
      <c r="CO996" s="1311"/>
      <c r="CP996" s="1311"/>
      <c r="CQ996" s="1311"/>
      <c r="CR996" s="1311"/>
      <c r="CS996" s="1311"/>
      <c r="CT996" s="1311"/>
      <c r="CU996" s="1311"/>
      <c r="CV996" s="1311"/>
      <c r="CW996" s="1311"/>
      <c r="CX996" s="1311"/>
      <c r="CY996" s="1311"/>
      <c r="CZ996" s="1311"/>
      <c r="DA996" s="1311"/>
      <c r="DB996" s="1311"/>
      <c r="DC996" s="1311"/>
      <c r="DD996" s="1311"/>
      <c r="DE996" s="1311"/>
      <c r="DF996" s="1311"/>
      <c r="DG996" s="1311"/>
      <c r="DH996" s="1311"/>
      <c r="DI996" s="1311"/>
      <c r="DJ996" s="1311"/>
      <c r="DK996" s="1311"/>
      <c r="DL996" s="1311"/>
      <c r="DM996" s="1311"/>
      <c r="DN996" s="1311"/>
      <c r="DO996" s="1311"/>
      <c r="DP996" s="1311"/>
      <c r="DQ996" s="1311"/>
      <c r="DR996" s="1311"/>
      <c r="DS996" s="1311"/>
      <c r="DT996" s="1311"/>
      <c r="DU996" s="1311"/>
      <c r="DV996" s="1311"/>
      <c r="DW996" s="1311"/>
      <c r="DX996" s="1311"/>
      <c r="DY996" s="1311"/>
      <c r="DZ996" s="1311"/>
      <c r="EA996" s="1311"/>
      <c r="EB996" s="1311"/>
      <c r="EC996" s="1311"/>
      <c r="ED996" s="1311"/>
      <c r="EE996" s="1311"/>
      <c r="EF996" s="1311"/>
      <c r="EG996" s="1311"/>
      <c r="EH996" s="1311"/>
      <c r="EI996" s="1311"/>
      <c r="EJ996" s="1311"/>
      <c r="EK996" s="1311"/>
      <c r="EL996" s="1311"/>
      <c r="EM996" s="1311"/>
      <c r="EN996" s="1311"/>
      <c r="EO996" s="1311"/>
      <c r="EP996" s="1311"/>
      <c r="EQ996" s="1311"/>
      <c r="ER996" s="1311"/>
      <c r="ES996" s="1311"/>
      <c r="ET996" s="1311"/>
      <c r="EU996" s="1311"/>
      <c r="EV996" s="1311"/>
      <c r="EW996" s="1311"/>
      <c r="EX996" s="1311"/>
      <c r="EY996" s="1311"/>
      <c r="EZ996" s="1311"/>
      <c r="FA996" s="1311"/>
      <c r="FB996" s="1311"/>
      <c r="FC996" s="1311"/>
      <c r="FD996" s="1311"/>
      <c r="FE996" s="1311"/>
      <c r="FF996" s="1311"/>
      <c r="FG996" s="1311"/>
      <c r="FH996" s="1311"/>
      <c r="FI996" s="1311"/>
      <c r="FJ996" s="1311"/>
      <c r="FK996" s="1311"/>
      <c r="FL996" s="1311"/>
      <c r="FM996" s="1311"/>
      <c r="FN996" s="1311"/>
      <c r="FO996" s="1311"/>
      <c r="FP996" s="1311"/>
      <c r="FQ996" s="1311"/>
      <c r="FR996" s="1311"/>
      <c r="FS996" s="1311"/>
      <c r="FT996" s="1311"/>
      <c r="FU996" s="1311"/>
      <c r="FV996" s="1311"/>
      <c r="FW996" s="1311"/>
      <c r="FX996" s="1311"/>
      <c r="FY996" s="1311"/>
      <c r="FZ996" s="1311"/>
      <c r="GA996" s="1311"/>
      <c r="GB996" s="1311"/>
      <c r="GC996" s="1311"/>
      <c r="GD996" s="1311"/>
      <c r="GE996" s="1311"/>
      <c r="GF996" s="1311"/>
      <c r="GG996" s="1311"/>
      <c r="GH996" s="1311"/>
      <c r="GI996" s="1311"/>
      <c r="GJ996" s="1311"/>
      <c r="GK996" s="1311"/>
      <c r="GL996" s="1311"/>
      <c r="GM996" s="1311"/>
      <c r="GN996" s="1311"/>
      <c r="GO996" s="1311"/>
      <c r="GP996" s="1311"/>
      <c r="GQ996" s="1311"/>
      <c r="GR996" s="1311"/>
      <c r="GS996" s="1311"/>
      <c r="GT996" s="1311"/>
      <c r="GU996" s="1311"/>
      <c r="GV996" s="1311"/>
      <c r="GW996" s="1311"/>
      <c r="GX996" s="1311"/>
      <c r="GY996" s="1311"/>
      <c r="GZ996" s="1311"/>
      <c r="HA996" s="1311"/>
      <c r="HB996" s="1311"/>
      <c r="HC996" s="1311"/>
      <c r="HD996" s="1311"/>
      <c r="HE996" s="1311"/>
      <c r="HF996" s="1311"/>
      <c r="HG996" s="1311"/>
      <c r="HH996" s="1311"/>
      <c r="HI996" s="1311"/>
      <c r="HJ996" s="1311"/>
      <c r="HK996" s="1311"/>
      <c r="HL996" s="1311"/>
      <c r="HM996" s="1311"/>
      <c r="HN996" s="1311"/>
      <c r="HO996" s="1311"/>
      <c r="HP996" s="1311"/>
      <c r="HQ996" s="1311"/>
      <c r="HR996" s="1311"/>
      <c r="HS996" s="1311"/>
      <c r="HT996" s="1311"/>
      <c r="HU996" s="1311"/>
      <c r="HV996" s="1311"/>
      <c r="HW996" s="1311"/>
      <c r="HX996" s="1311"/>
      <c r="HY996" s="1311"/>
      <c r="HZ996" s="1311"/>
      <c r="IA996" s="1311"/>
      <c r="IB996" s="1311"/>
      <c r="IC996" s="1311"/>
      <c r="ID996" s="1311"/>
      <c r="IE996" s="1311"/>
      <c r="IF996" s="1311"/>
      <c r="IG996" s="1311"/>
      <c r="IH996" s="1311"/>
      <c r="II996" s="1311"/>
      <c r="IJ996" s="1311"/>
      <c r="IK996" s="1311"/>
      <c r="IL996" s="1311"/>
      <c r="IM996" s="1311"/>
      <c r="IN996" s="1311"/>
      <c r="IO996" s="1311"/>
      <c r="IP996" s="1311"/>
      <c r="IQ996" s="1311"/>
      <c r="IR996" s="1311"/>
      <c r="IS996" s="1311"/>
      <c r="IT996" s="1311"/>
      <c r="IU996" s="1311"/>
      <c r="IV996" s="1311"/>
      <c r="IW996" s="1311"/>
      <c r="IX996" s="1311"/>
      <c r="IY996" s="1311"/>
      <c r="IZ996" s="1311"/>
      <c r="JA996" s="1311"/>
      <c r="JB996" s="1311"/>
      <c r="JC996" s="1311"/>
      <c r="JD996" s="1311"/>
      <c r="JE996" s="1311"/>
      <c r="JF996" s="1311"/>
      <c r="JG996" s="1311"/>
      <c r="JH996" s="1311"/>
      <c r="JI996" s="1311"/>
      <c r="JJ996" s="1311"/>
      <c r="JK996" s="1311"/>
      <c r="JL996" s="1311"/>
      <c r="JM996" s="1311"/>
      <c r="JN996" s="1311"/>
      <c r="JO996" s="1311"/>
      <c r="JP996" s="1311"/>
      <c r="JQ996" s="1311"/>
      <c r="JR996" s="1311"/>
      <c r="JS996" s="1311"/>
      <c r="JT996" s="1311"/>
      <c r="JU996" s="1311"/>
      <c r="JV996" s="1955"/>
      <c r="JW996" s="1311"/>
      <c r="JX996" s="1311"/>
      <c r="JY996" s="1311"/>
      <c r="JZ996" s="1311"/>
      <c r="KA996" s="1955"/>
      <c r="KB996" s="1955"/>
      <c r="KC996" s="1955"/>
      <c r="KD996" s="1955"/>
      <c r="KE996" s="1955"/>
      <c r="KF996" s="1955"/>
      <c r="KG996" s="1955"/>
      <c r="KH996" s="1955"/>
      <c r="KI996" s="1955"/>
      <c r="KJ996" s="1955"/>
      <c r="KK996" s="1955"/>
      <c r="KL996" s="1955"/>
      <c r="KM996" s="1955"/>
      <c r="KN996" s="1955"/>
      <c r="KO996" s="1955"/>
      <c r="KP996" s="1955"/>
      <c r="KQ996" s="1955"/>
      <c r="KR996" s="1955"/>
      <c r="KS996" s="1955"/>
      <c r="KT996" s="1955"/>
      <c r="KU996" s="1955"/>
      <c r="KV996" s="1955"/>
      <c r="KW996" s="1955"/>
      <c r="KX996" s="1955"/>
      <c r="KY996" s="1955"/>
      <c r="KZ996" s="1955"/>
      <c r="LA996" s="1955"/>
      <c r="LB996" s="1955"/>
      <c r="LC996" s="1955"/>
      <c r="LD996" s="1955"/>
      <c r="LE996" s="1955"/>
      <c r="LF996" s="1955"/>
      <c r="LG996" s="1311"/>
      <c r="LH996" s="1311"/>
      <c r="LI996" s="1311"/>
      <c r="LJ996" s="1311"/>
      <c r="LK996" s="1311"/>
      <c r="LL996" s="1311"/>
      <c r="LM996" s="1311"/>
      <c r="LN996" s="1311"/>
      <c r="LO996" s="1311"/>
      <c r="LP996" s="1311"/>
      <c r="LQ996" s="1311"/>
      <c r="LR996" s="1311"/>
      <c r="LS996" s="1311"/>
      <c r="LT996" s="1311"/>
      <c r="LU996" s="1311"/>
      <c r="LV996" s="1311"/>
      <c r="LW996" s="1311"/>
      <c r="LX996" s="1311"/>
      <c r="LY996" s="1311"/>
      <c r="LZ996" s="1311"/>
      <c r="MA996" s="1311"/>
      <c r="MB996" s="1311"/>
      <c r="MC996" s="1311"/>
      <c r="MD996" s="1311"/>
      <c r="ME996" s="1311"/>
      <c r="MF996" s="1311"/>
      <c r="MG996" s="1311"/>
      <c r="MH996" s="1311"/>
      <c r="MI996" s="1311"/>
      <c r="MJ996" s="1311"/>
      <c r="MK996" s="1311"/>
      <c r="ML996" s="1311"/>
      <c r="MM996" s="1311"/>
      <c r="MN996" s="1311"/>
      <c r="MO996" s="1311"/>
      <c r="MP996" s="1311"/>
      <c r="MQ996" s="1311"/>
      <c r="MR996" s="1311"/>
      <c r="MS996" s="1311"/>
    </row>
    <row r="997" spans="1:357" ht="13.5" customHeight="1">
      <c r="A997" s="1311"/>
      <c r="B997" s="1311" t="s">
        <v>991</v>
      </c>
      <c r="C997" s="1311"/>
      <c r="D997" s="2028"/>
      <c r="E997" s="1311"/>
      <c r="F997" s="2012">
        <f>'Part VI-Revenues &amp; Expenses'!F235</f>
        <v>10000</v>
      </c>
      <c r="G997" s="2012"/>
      <c r="H997" s="1311"/>
      <c r="I997" s="2027" t="str">
        <f>'Part VI-Revenues &amp; Expenses'!I235</f>
        <v>Water Billing Fee (3rd Party)</v>
      </c>
      <c r="J997" s="2027"/>
      <c r="K997" s="2012">
        <f>'Part VI-Revenues &amp; Expenses'!K235</f>
        <v>3024</v>
      </c>
      <c r="L997" s="2012"/>
      <c r="M997" s="2005"/>
      <c r="N997" s="1786" t="s">
        <v>3365</v>
      </c>
      <c r="O997" s="2038" t="str">
        <f>CONCATENATE(SUM(ME810:MI810)," units x $",'DCA Underwriting Assumptions'!$Q$64," =")</f>
        <v>0 units x $350 =</v>
      </c>
      <c r="P997" s="2038">
        <f>SUM(ME810:MI810)*'DCA Underwriting Assumptions'!$Q$64</f>
        <v>0</v>
      </c>
      <c r="Q997" s="2038"/>
      <c r="R997" s="1979">
        <f>'Part VI-Revenues &amp; Expenses'!R235</f>
        <v>0</v>
      </c>
      <c r="S997" s="1979"/>
      <c r="T997" s="1979"/>
      <c r="U997" s="1979"/>
      <c r="V997" s="1979"/>
      <c r="X997" s="1311"/>
      <c r="Y997" s="1311"/>
      <c r="Z997" s="1311"/>
      <c r="AA997" s="1311"/>
      <c r="AC997" s="1311"/>
      <c r="AD997" s="1311"/>
      <c r="AE997" s="1311"/>
      <c r="AF997" s="1311"/>
      <c r="AH997" s="1311"/>
      <c r="AI997" s="1311"/>
      <c r="AJ997" s="1311"/>
      <c r="AK997" s="1311"/>
      <c r="AM997" s="1311"/>
      <c r="AN997" s="1311"/>
      <c r="AO997" s="1311"/>
      <c r="AP997" s="1311"/>
      <c r="AQ997" s="1311"/>
      <c r="AR997" s="1311"/>
      <c r="AS997" s="1311"/>
      <c r="AT997" s="1311"/>
      <c r="AU997" s="1311"/>
      <c r="AV997" s="1311"/>
      <c r="AW997" s="1311"/>
      <c r="AX997" s="1311"/>
      <c r="AY997" s="1311"/>
      <c r="AZ997" s="1311"/>
      <c r="BA997" s="1311"/>
      <c r="BB997" s="1311"/>
      <c r="BC997" s="1311"/>
      <c r="BD997" s="1311"/>
      <c r="BE997" s="1311"/>
      <c r="BF997" s="1311"/>
      <c r="BG997" s="1311"/>
      <c r="BH997" s="1311"/>
      <c r="BI997" s="1311"/>
      <c r="BJ997" s="1311"/>
      <c r="BK997" s="1311"/>
      <c r="BL997" s="1311"/>
      <c r="BM997" s="1311"/>
      <c r="BN997" s="1311"/>
      <c r="BO997" s="1311"/>
      <c r="BP997" s="1311"/>
      <c r="BQ997" s="1311"/>
      <c r="BR997" s="1311"/>
      <c r="BS997" s="1311"/>
      <c r="BT997" s="1311"/>
      <c r="BU997" s="1311"/>
      <c r="BV997" s="1311"/>
      <c r="BW997" s="1311"/>
      <c r="BX997" s="1311"/>
      <c r="BY997" s="1311"/>
      <c r="BZ997" s="1311"/>
      <c r="CA997" s="1311"/>
      <c r="CB997" s="1311"/>
      <c r="CC997" s="1311"/>
      <c r="CD997" s="1311"/>
      <c r="CE997" s="1311"/>
      <c r="CF997" s="1311"/>
      <c r="CG997" s="1311"/>
      <c r="CH997" s="1311"/>
      <c r="CI997" s="1311"/>
      <c r="CJ997" s="1311"/>
      <c r="CK997" s="1311"/>
      <c r="CL997" s="1311"/>
      <c r="CM997" s="1311"/>
      <c r="CN997" s="1311"/>
      <c r="CO997" s="1311"/>
      <c r="CP997" s="1311"/>
      <c r="CQ997" s="1311"/>
      <c r="CR997" s="1311"/>
      <c r="CS997" s="1311"/>
      <c r="CT997" s="1311"/>
      <c r="CU997" s="1311"/>
      <c r="CV997" s="1311"/>
      <c r="CW997" s="1311"/>
      <c r="CX997" s="1311"/>
      <c r="CY997" s="1311"/>
      <c r="CZ997" s="1311"/>
      <c r="DA997" s="1311"/>
      <c r="DB997" s="1311"/>
      <c r="DC997" s="1311"/>
      <c r="DD997" s="1311"/>
      <c r="DE997" s="1311"/>
      <c r="DF997" s="1311"/>
      <c r="DG997" s="1311"/>
      <c r="DH997" s="1311"/>
      <c r="DI997" s="1311"/>
      <c r="DJ997" s="1311"/>
      <c r="DK997" s="1311"/>
      <c r="DL997" s="1311"/>
      <c r="DM997" s="1311"/>
      <c r="DN997" s="1311"/>
      <c r="DO997" s="1311"/>
      <c r="DP997" s="1311"/>
      <c r="DQ997" s="1311"/>
      <c r="DR997" s="1311"/>
      <c r="DS997" s="1311"/>
      <c r="DT997" s="1311"/>
      <c r="DU997" s="1311"/>
      <c r="DV997" s="1311"/>
      <c r="DW997" s="1311"/>
      <c r="DX997" s="1311"/>
      <c r="DY997" s="1311"/>
      <c r="DZ997" s="1311"/>
      <c r="EA997" s="1311"/>
      <c r="EB997" s="1311"/>
      <c r="EC997" s="1311"/>
      <c r="ED997" s="1311"/>
      <c r="EE997" s="1311"/>
      <c r="EF997" s="1311"/>
      <c r="EG997" s="1311"/>
      <c r="EH997" s="1311"/>
      <c r="EI997" s="1311"/>
      <c r="EJ997" s="1311"/>
      <c r="EK997" s="1311"/>
      <c r="EL997" s="1311"/>
      <c r="EM997" s="1311"/>
      <c r="EN997" s="1311"/>
      <c r="EO997" s="1311"/>
      <c r="EP997" s="1311"/>
      <c r="EQ997" s="1311"/>
      <c r="ER997" s="1311"/>
      <c r="ES997" s="1311"/>
      <c r="ET997" s="1311"/>
      <c r="EU997" s="1311"/>
      <c r="EV997" s="1311"/>
      <c r="EW997" s="1311"/>
      <c r="EX997" s="1311"/>
      <c r="EY997" s="1311"/>
      <c r="EZ997" s="1311"/>
      <c r="FA997" s="1311"/>
      <c r="FB997" s="1311"/>
      <c r="FC997" s="1311"/>
      <c r="FD997" s="1311"/>
      <c r="FE997" s="1311"/>
      <c r="FF997" s="1311"/>
      <c r="FG997" s="1311"/>
      <c r="FH997" s="1311"/>
      <c r="FI997" s="1311"/>
      <c r="FJ997" s="1311"/>
      <c r="FK997" s="1311"/>
      <c r="FL997" s="1311"/>
      <c r="FM997" s="1311"/>
      <c r="FN997" s="1311"/>
      <c r="FO997" s="1311"/>
      <c r="FP997" s="1311"/>
      <c r="FQ997" s="1311"/>
      <c r="FR997" s="1311"/>
      <c r="FS997" s="1311"/>
      <c r="FT997" s="1311"/>
      <c r="FU997" s="1311"/>
      <c r="FV997" s="1311"/>
      <c r="FW997" s="1311"/>
      <c r="FX997" s="1311"/>
      <c r="FY997" s="1311"/>
      <c r="FZ997" s="1311"/>
      <c r="GA997" s="1311"/>
      <c r="GB997" s="1311"/>
      <c r="GC997" s="1311"/>
      <c r="GD997" s="1311"/>
      <c r="GE997" s="1311"/>
      <c r="GF997" s="1311"/>
      <c r="GG997" s="1311"/>
      <c r="GH997" s="1311"/>
      <c r="GI997" s="1311"/>
      <c r="GJ997" s="1311"/>
      <c r="GK997" s="1311"/>
      <c r="GL997" s="1311"/>
      <c r="GM997" s="1311"/>
      <c r="GN997" s="1311"/>
      <c r="GO997" s="1311"/>
      <c r="GP997" s="1311"/>
      <c r="GQ997" s="1311"/>
      <c r="GR997" s="1311"/>
      <c r="GS997" s="1311"/>
      <c r="GT997" s="1311"/>
      <c r="GU997" s="1311"/>
      <c r="GV997" s="1311"/>
      <c r="GW997" s="1311"/>
      <c r="GX997" s="1311"/>
      <c r="GY997" s="1311"/>
      <c r="GZ997" s="1311"/>
      <c r="HA997" s="1311"/>
      <c r="HB997" s="1311"/>
      <c r="HC997" s="1311"/>
      <c r="HD997" s="1311"/>
      <c r="HE997" s="1311"/>
      <c r="HF997" s="1311"/>
      <c r="HG997" s="1311"/>
      <c r="HH997" s="1311"/>
      <c r="HI997" s="1311"/>
      <c r="HJ997" s="1311"/>
      <c r="HK997" s="1311"/>
      <c r="HL997" s="1311"/>
      <c r="HM997" s="1311"/>
      <c r="HN997" s="1311"/>
      <c r="HO997" s="1311"/>
      <c r="HP997" s="1311"/>
      <c r="HQ997" s="1311"/>
      <c r="HR997" s="1311"/>
      <c r="HS997" s="1311"/>
      <c r="HT997" s="1311"/>
      <c r="HU997" s="1311"/>
      <c r="HV997" s="1311"/>
      <c r="HW997" s="1311"/>
      <c r="HX997" s="1311"/>
      <c r="HY997" s="1311"/>
      <c r="HZ997" s="1311"/>
      <c r="IA997" s="1311"/>
      <c r="IB997" s="1311"/>
      <c r="IC997" s="1311"/>
      <c r="ID997" s="1311"/>
      <c r="IE997" s="1311"/>
      <c r="IF997" s="1311"/>
      <c r="IG997" s="1311"/>
      <c r="IH997" s="1311"/>
      <c r="II997" s="1311"/>
      <c r="IJ997" s="1311"/>
      <c r="IK997" s="1311"/>
      <c r="IL997" s="1311"/>
      <c r="IM997" s="1311"/>
      <c r="IN997" s="1311"/>
      <c r="IO997" s="1311"/>
      <c r="IP997" s="1311"/>
      <c r="IQ997" s="1311"/>
      <c r="IR997" s="1311"/>
      <c r="IS997" s="1311"/>
      <c r="IT997" s="1311"/>
      <c r="IU997" s="1311"/>
      <c r="IV997" s="1311"/>
      <c r="IW997" s="1311"/>
      <c r="IX997" s="1311"/>
      <c r="IY997" s="1311"/>
      <c r="IZ997" s="1311"/>
      <c r="JA997" s="1311"/>
      <c r="JB997" s="1311"/>
      <c r="JC997" s="1311"/>
      <c r="JD997" s="1311"/>
      <c r="JE997" s="1311"/>
      <c r="JF997" s="1311"/>
      <c r="JG997" s="1311"/>
      <c r="JH997" s="1311"/>
      <c r="JI997" s="1311"/>
      <c r="JJ997" s="1311"/>
      <c r="JK997" s="1311"/>
      <c r="JL997" s="1311"/>
      <c r="JM997" s="1311"/>
      <c r="JN997" s="1311"/>
      <c r="JO997" s="1311"/>
      <c r="JP997" s="1311"/>
      <c r="JQ997" s="1311"/>
      <c r="JR997" s="1311"/>
      <c r="JS997" s="1311"/>
      <c r="JT997" s="1311"/>
      <c r="JU997" s="1311"/>
      <c r="JV997" s="1955"/>
      <c r="JW997" s="1311"/>
      <c r="JX997" s="1311"/>
      <c r="JY997" s="1311"/>
      <c r="JZ997" s="1311"/>
      <c r="KA997" s="1955"/>
      <c r="KB997" s="1955"/>
      <c r="KC997" s="1955"/>
      <c r="KD997" s="1955"/>
      <c r="KE997" s="1955"/>
      <c r="KF997" s="1955"/>
      <c r="KG997" s="1955"/>
      <c r="KH997" s="1955"/>
      <c r="KI997" s="1955"/>
      <c r="KJ997" s="1955"/>
      <c r="KK997" s="1955"/>
      <c r="KL997" s="1955"/>
      <c r="KM997" s="1955"/>
      <c r="KN997" s="1955"/>
      <c r="KO997" s="1955"/>
      <c r="KP997" s="1955"/>
      <c r="KQ997" s="1955"/>
      <c r="KR997" s="1955"/>
      <c r="KS997" s="1955"/>
      <c r="KT997" s="1955"/>
      <c r="KU997" s="1955"/>
      <c r="KV997" s="1955"/>
      <c r="KW997" s="1955"/>
      <c r="KX997" s="1955"/>
      <c r="KY997" s="1955"/>
      <c r="KZ997" s="1955"/>
      <c r="LA997" s="1955"/>
      <c r="LB997" s="1955"/>
      <c r="LC997" s="1955"/>
      <c r="LD997" s="1955"/>
      <c r="LE997" s="1955"/>
      <c r="LF997" s="1955"/>
      <c r="LG997" s="1311"/>
      <c r="LH997" s="1311"/>
      <c r="LI997" s="1311"/>
      <c r="LJ997" s="1311"/>
      <c r="LK997" s="1311"/>
      <c r="LL997" s="1311"/>
      <c r="LM997" s="1311"/>
      <c r="LN997" s="1311"/>
      <c r="LO997" s="1311"/>
      <c r="LP997" s="1311"/>
      <c r="LQ997" s="1311"/>
      <c r="LR997" s="1311"/>
      <c r="LS997" s="1311"/>
      <c r="LT997" s="1311"/>
      <c r="LU997" s="1311"/>
      <c r="LV997" s="1311"/>
      <c r="LW997" s="1311"/>
      <c r="LX997" s="1311"/>
      <c r="LY997" s="1311"/>
      <c r="LZ997" s="1311"/>
      <c r="MA997" s="1311"/>
      <c r="MB997" s="1311"/>
      <c r="MC997" s="1311"/>
      <c r="MD997" s="1311"/>
      <c r="ME997" s="1311"/>
      <c r="MF997" s="1311"/>
      <c r="MG997" s="1311"/>
      <c r="MH997" s="1311"/>
      <c r="MI997" s="1311"/>
      <c r="MJ997" s="1311"/>
      <c r="MK997" s="1311"/>
      <c r="ML997" s="1311"/>
      <c r="MM997" s="1311"/>
      <c r="MN997" s="1311"/>
      <c r="MO997" s="1311"/>
      <c r="MP997" s="1311"/>
      <c r="MQ997" s="1311"/>
      <c r="MR997" s="1311"/>
      <c r="MS997" s="1311"/>
    </row>
    <row r="998" spans="1:357">
      <c r="A998" s="1311"/>
      <c r="B998" s="1311" t="s">
        <v>992</v>
      </c>
      <c r="C998" s="1311"/>
      <c r="D998" s="2028"/>
      <c r="E998" s="1311"/>
      <c r="F998" s="2012">
        <f>'Part VI-Revenues &amp; Expenses'!F236</f>
        <v>0</v>
      </c>
      <c r="G998" s="2012"/>
      <c r="H998" s="1311"/>
      <c r="I998" s="1311"/>
      <c r="J998" s="2026" t="s">
        <v>189</v>
      </c>
      <c r="K998" s="2013">
        <f>SUM(K993:K997)</f>
        <v>35124</v>
      </c>
      <c r="L998" s="2013"/>
      <c r="M998" s="2005"/>
      <c r="N998" s="1786" t="s">
        <v>3364</v>
      </c>
      <c r="O998" s="2038" t="str">
        <f>CONCATENATE(SUM(MJ810:MN810)," units x $",'DCA Underwriting Assumptions'!$Q$65," =")</f>
        <v>84 units x $250 =</v>
      </c>
      <c r="P998" s="2038">
        <f>SUM(MJ810:MN810)*'DCA Underwriting Assumptions'!$Q$65</f>
        <v>21000</v>
      </c>
      <c r="Q998" s="2038"/>
      <c r="R998" s="1979">
        <f>'Part VI-Revenues &amp; Expenses'!R236</f>
        <v>0</v>
      </c>
      <c r="S998" s="1979"/>
      <c r="T998" s="1979"/>
      <c r="U998" s="1979"/>
      <c r="V998" s="1979"/>
      <c r="X998" s="1311"/>
      <c r="Y998" s="1311"/>
      <c r="Z998" s="1311"/>
      <c r="AA998" s="1311"/>
      <c r="AC998" s="1311"/>
      <c r="AD998" s="1311"/>
      <c r="AE998" s="1311"/>
      <c r="AF998" s="1311"/>
      <c r="AH998" s="1311"/>
      <c r="AI998" s="1311"/>
      <c r="AJ998" s="1311"/>
      <c r="AK998" s="1311"/>
      <c r="AM998" s="1311"/>
      <c r="AN998" s="1311"/>
      <c r="AO998" s="1311"/>
      <c r="AP998" s="1311"/>
      <c r="AQ998" s="1311"/>
      <c r="AR998" s="1311"/>
      <c r="AS998" s="1311"/>
      <c r="AT998" s="1311"/>
      <c r="AU998" s="1311"/>
      <c r="AV998" s="1311"/>
      <c r="AW998" s="1311"/>
      <c r="AX998" s="1311"/>
      <c r="AY998" s="1311"/>
      <c r="AZ998" s="1311"/>
      <c r="BA998" s="1311"/>
      <c r="BB998" s="1311"/>
      <c r="BC998" s="1311"/>
      <c r="BD998" s="1311"/>
      <c r="BE998" s="1311"/>
      <c r="BF998" s="1311"/>
      <c r="BG998" s="1311"/>
      <c r="BH998" s="1311"/>
      <c r="BI998" s="1311"/>
      <c r="BJ998" s="1311"/>
      <c r="BK998" s="1311"/>
      <c r="BL998" s="1311"/>
      <c r="BM998" s="1311"/>
      <c r="BN998" s="1311"/>
      <c r="BO998" s="1311"/>
      <c r="BP998" s="1311"/>
      <c r="BQ998" s="1311"/>
      <c r="BR998" s="1311"/>
      <c r="BS998" s="1311"/>
      <c r="BT998" s="1311"/>
      <c r="BU998" s="1311"/>
      <c r="BV998" s="1311"/>
      <c r="BW998" s="1311"/>
      <c r="BX998" s="1311"/>
      <c r="BY998" s="1311"/>
      <c r="BZ998" s="1311"/>
      <c r="CA998" s="1311"/>
      <c r="CB998" s="1311"/>
      <c r="CC998" s="1311"/>
      <c r="CD998" s="1311"/>
      <c r="CE998" s="1311"/>
      <c r="CF998" s="1311"/>
      <c r="CG998" s="1311"/>
      <c r="CH998" s="1311"/>
      <c r="CI998" s="1311"/>
      <c r="CJ998" s="1311"/>
      <c r="CK998" s="1311"/>
      <c r="CL998" s="1311"/>
      <c r="CM998" s="1311"/>
      <c r="CN998" s="1311"/>
      <c r="CO998" s="1311"/>
      <c r="CP998" s="1311"/>
      <c r="CQ998" s="1311"/>
      <c r="CR998" s="1311"/>
      <c r="CS998" s="1311"/>
      <c r="CT998" s="1311"/>
      <c r="CU998" s="1311"/>
      <c r="CV998" s="1311"/>
      <c r="CW998" s="1311"/>
      <c r="CX998" s="1311"/>
      <c r="CY998" s="1311"/>
      <c r="CZ998" s="1311"/>
      <c r="DA998" s="1311"/>
      <c r="DB998" s="1311"/>
      <c r="DC998" s="1311"/>
      <c r="DD998" s="1311"/>
      <c r="DE998" s="1311"/>
      <c r="DF998" s="1311"/>
      <c r="DG998" s="1311"/>
      <c r="DH998" s="1311"/>
      <c r="DI998" s="1311"/>
      <c r="DJ998" s="1311"/>
      <c r="DK998" s="1311"/>
      <c r="DL998" s="1311"/>
      <c r="DM998" s="1311"/>
      <c r="DN998" s="1311"/>
      <c r="DO998" s="1311"/>
      <c r="DP998" s="1311"/>
      <c r="DQ998" s="1311"/>
      <c r="DR998" s="1311"/>
      <c r="DS998" s="1311"/>
      <c r="DT998" s="1311"/>
      <c r="DU998" s="1311"/>
      <c r="DV998" s="1311"/>
      <c r="DW998" s="1311"/>
      <c r="DX998" s="1311"/>
      <c r="DY998" s="1311"/>
      <c r="DZ998" s="1311"/>
      <c r="EA998" s="1311"/>
      <c r="EB998" s="1311"/>
      <c r="EC998" s="1311"/>
      <c r="ED998" s="1311"/>
      <c r="EE998" s="1311"/>
      <c r="EF998" s="1311"/>
      <c r="EG998" s="1311"/>
      <c r="EH998" s="1311"/>
      <c r="EI998" s="1311"/>
      <c r="EJ998" s="1311"/>
      <c r="EK998" s="1311"/>
      <c r="EL998" s="1311"/>
      <c r="EM998" s="1311"/>
      <c r="EN998" s="1311"/>
      <c r="EO998" s="1311"/>
      <c r="EP998" s="1311"/>
      <c r="EQ998" s="1311"/>
      <c r="ER998" s="1311"/>
      <c r="ES998" s="1311"/>
      <c r="ET998" s="1311"/>
      <c r="EU998" s="1311"/>
      <c r="EV998" s="1311"/>
      <c r="EW998" s="1311"/>
      <c r="EX998" s="1311"/>
      <c r="EY998" s="1311"/>
      <c r="EZ998" s="1311"/>
      <c r="FA998" s="1311"/>
      <c r="FB998" s="1311"/>
      <c r="FC998" s="1311"/>
      <c r="FD998" s="1311"/>
      <c r="FE998" s="1311"/>
      <c r="FF998" s="1311"/>
      <c r="FG998" s="1311"/>
      <c r="FH998" s="1311"/>
      <c r="FI998" s="1311"/>
      <c r="FJ998" s="1311"/>
      <c r="FK998" s="1311"/>
      <c r="FL998" s="1311"/>
      <c r="FM998" s="1311"/>
      <c r="FN998" s="1311"/>
      <c r="FO998" s="1311"/>
      <c r="FP998" s="1311"/>
      <c r="FQ998" s="1311"/>
      <c r="FR998" s="1311"/>
      <c r="FS998" s="1311"/>
      <c r="FT998" s="1311"/>
      <c r="FU998" s="1311"/>
      <c r="FV998" s="1311"/>
      <c r="FW998" s="1311"/>
      <c r="FX998" s="1311"/>
      <c r="FY998" s="1311"/>
      <c r="FZ998" s="1311"/>
      <c r="GA998" s="1311"/>
      <c r="GB998" s="1311"/>
      <c r="GC998" s="1311"/>
      <c r="GD998" s="1311"/>
      <c r="GE998" s="1311"/>
      <c r="GF998" s="1311"/>
      <c r="GG998" s="1311"/>
      <c r="GH998" s="1311"/>
      <c r="GI998" s="1311"/>
      <c r="GJ998" s="1311"/>
      <c r="GK998" s="1311"/>
      <c r="GL998" s="1311"/>
      <c r="GM998" s="1311"/>
      <c r="GN998" s="1311"/>
      <c r="GO998" s="1311"/>
      <c r="GP998" s="1311"/>
      <c r="GQ998" s="1311"/>
      <c r="GR998" s="1311"/>
      <c r="GS998" s="1311"/>
      <c r="GT998" s="1311"/>
      <c r="GU998" s="1311"/>
      <c r="GV998" s="1311"/>
      <c r="GW998" s="1311"/>
      <c r="GX998" s="1311"/>
      <c r="GY998" s="1311"/>
      <c r="GZ998" s="1311"/>
      <c r="HA998" s="1311"/>
      <c r="HB998" s="1311"/>
      <c r="HC998" s="1311"/>
      <c r="HD998" s="1311"/>
      <c r="HE998" s="1311"/>
      <c r="HF998" s="1311"/>
      <c r="HG998" s="1311"/>
      <c r="HH998" s="1311"/>
      <c r="HI998" s="1311"/>
      <c r="HJ998" s="1311"/>
      <c r="HK998" s="1311"/>
      <c r="HL998" s="1311"/>
      <c r="HM998" s="1311"/>
      <c r="HN998" s="1311"/>
      <c r="HO998" s="1311"/>
      <c r="HP998" s="1311"/>
      <c r="HQ998" s="1311"/>
      <c r="HR998" s="1311"/>
      <c r="HS998" s="1311"/>
      <c r="HT998" s="1311"/>
      <c r="HU998" s="1311"/>
      <c r="HV998" s="1311"/>
      <c r="HW998" s="1311"/>
      <c r="HX998" s="1311"/>
      <c r="HY998" s="1311"/>
      <c r="HZ998" s="1311"/>
      <c r="IA998" s="1311"/>
      <c r="IB998" s="1311"/>
      <c r="IC998" s="1311"/>
      <c r="ID998" s="1311"/>
      <c r="IE998" s="1311"/>
      <c r="IF998" s="1311"/>
      <c r="IG998" s="1311"/>
      <c r="IH998" s="1311"/>
      <c r="II998" s="1311"/>
      <c r="IJ998" s="1311"/>
      <c r="IK998" s="1311"/>
      <c r="IL998" s="1311"/>
      <c r="IM998" s="1311"/>
      <c r="IN998" s="1311"/>
      <c r="IO998" s="1311"/>
      <c r="IP998" s="1311"/>
      <c r="IQ998" s="1311"/>
      <c r="IR998" s="1311"/>
      <c r="IS998" s="1311"/>
      <c r="IT998" s="1311"/>
      <c r="IU998" s="1311"/>
      <c r="IV998" s="1311"/>
      <c r="IW998" s="1311"/>
      <c r="IX998" s="1311"/>
      <c r="IY998" s="1311"/>
      <c r="IZ998" s="1311"/>
      <c r="JA998" s="1311"/>
      <c r="JB998" s="1311"/>
      <c r="JC998" s="1311"/>
      <c r="JD998" s="1311"/>
      <c r="JE998" s="1311"/>
      <c r="JF998" s="1311"/>
      <c r="JG998" s="1311"/>
      <c r="JH998" s="1311"/>
      <c r="JI998" s="1311"/>
      <c r="JJ998" s="1311"/>
      <c r="JK998" s="1311"/>
      <c r="JL998" s="1311"/>
      <c r="JM998" s="1311"/>
      <c r="JN998" s="1311"/>
      <c r="JO998" s="1311"/>
      <c r="JP998" s="1311"/>
      <c r="JQ998" s="1311"/>
      <c r="JR998" s="1311"/>
      <c r="JS998" s="1311"/>
      <c r="JT998" s="1311"/>
      <c r="JU998" s="1311"/>
      <c r="JV998" s="1955"/>
      <c r="JW998" s="1311"/>
      <c r="JX998" s="1311"/>
      <c r="JY998" s="1311"/>
      <c r="JZ998" s="1311"/>
      <c r="KA998" s="1955"/>
      <c r="KB998" s="1955"/>
      <c r="KC998" s="1955"/>
      <c r="KD998" s="1955"/>
      <c r="KE998" s="1955"/>
      <c r="KF998" s="1955"/>
      <c r="KG998" s="1955"/>
      <c r="KH998" s="1955"/>
      <c r="KI998" s="1955"/>
      <c r="KJ998" s="1955"/>
      <c r="KK998" s="1955"/>
      <c r="KL998" s="1955"/>
      <c r="KM998" s="1955"/>
      <c r="KN998" s="1955"/>
      <c r="KO998" s="1955"/>
      <c r="KP998" s="1955"/>
      <c r="KQ998" s="1955"/>
      <c r="KR998" s="1955"/>
      <c r="KS998" s="1955"/>
      <c r="KT998" s="1955"/>
      <c r="KU998" s="1955"/>
      <c r="KV998" s="1955"/>
      <c r="KW998" s="1955"/>
      <c r="KX998" s="1955"/>
      <c r="KY998" s="1955"/>
      <c r="KZ998" s="1955"/>
      <c r="LA998" s="1955"/>
      <c r="LB998" s="1955"/>
      <c r="LC998" s="1955"/>
      <c r="LD998" s="1955"/>
      <c r="LE998" s="1955"/>
      <c r="LF998" s="1955"/>
      <c r="LG998" s="1311"/>
      <c r="LH998" s="1311"/>
      <c r="LI998" s="1311"/>
      <c r="LJ998" s="1311"/>
      <c r="LK998" s="1311"/>
      <c r="LL998" s="1311"/>
      <c r="LM998" s="1311"/>
      <c r="LN998" s="1311"/>
      <c r="LO998" s="1311"/>
      <c r="LP998" s="1311"/>
      <c r="LQ998" s="1311"/>
      <c r="LR998" s="1311"/>
      <c r="LS998" s="1311"/>
      <c r="LT998" s="1311"/>
      <c r="LU998" s="1311"/>
      <c r="LV998" s="1311"/>
      <c r="LW998" s="1311"/>
      <c r="LX998" s="1311"/>
      <c r="LY998" s="1311"/>
      <c r="LZ998" s="1311"/>
      <c r="MA998" s="1311"/>
      <c r="MB998" s="1311"/>
      <c r="MC998" s="1311"/>
      <c r="MD998" s="1311"/>
      <c r="ME998" s="1311"/>
      <c r="MF998" s="1311"/>
      <c r="MG998" s="1311"/>
      <c r="MH998" s="1311"/>
      <c r="MI998" s="1311"/>
      <c r="MJ998" s="1311"/>
      <c r="MK998" s="1311"/>
      <c r="ML998" s="1311"/>
      <c r="MM998" s="1311"/>
      <c r="MN998" s="1311"/>
      <c r="MO998" s="1311"/>
      <c r="MP998" s="1311"/>
      <c r="MQ998" s="1311"/>
      <c r="MR998" s="1311"/>
      <c r="MS998" s="1311"/>
    </row>
    <row r="999" spans="1:357">
      <c r="A999" s="1311"/>
      <c r="B999" s="1311" t="s">
        <v>856</v>
      </c>
      <c r="C999" s="1311"/>
      <c r="D999" s="2028"/>
      <c r="E999" s="1311"/>
      <c r="F999" s="2012">
        <f>'Part VI-Revenues &amp; Expenses'!F237</f>
        <v>3600</v>
      </c>
      <c r="G999" s="2012"/>
      <c r="H999" s="1311"/>
      <c r="I999" s="1311"/>
      <c r="J999" s="1993"/>
      <c r="K999" s="1311"/>
      <c r="L999" s="1311"/>
      <c r="M999" s="2005"/>
      <c r="N999" s="1786" t="s">
        <v>3368</v>
      </c>
      <c r="O999" s="2038" t="str">
        <f>CONCATENATE(SUM(MO810:MS810)," units x $",'DCA Underwriting Assumptions'!$Q$66," =")</f>
        <v>0 units x $420 =</v>
      </c>
      <c r="P999" s="2038">
        <f>SUM(MO810:MS810)*'DCA Underwriting Assumptions'!$Q$66</f>
        <v>0</v>
      </c>
      <c r="Q999" s="2038"/>
      <c r="R999" s="1979">
        <f>'Part VI-Revenues &amp; Expenses'!R237</f>
        <v>0</v>
      </c>
      <c r="S999" s="1979"/>
      <c r="T999" s="1979"/>
      <c r="U999" s="1979"/>
      <c r="V999" s="1979"/>
      <c r="X999" s="1311"/>
      <c r="Y999" s="1311"/>
      <c r="Z999" s="1311"/>
      <c r="AA999" s="1311"/>
      <c r="AC999" s="1311"/>
      <c r="AD999" s="1311"/>
      <c r="AE999" s="1311"/>
      <c r="AF999" s="1311"/>
      <c r="AH999" s="1311"/>
      <c r="AI999" s="1311"/>
      <c r="AJ999" s="1311"/>
      <c r="AK999" s="1311"/>
      <c r="AM999" s="1311"/>
      <c r="AN999" s="1311"/>
      <c r="AO999" s="1311"/>
      <c r="AP999" s="1311"/>
      <c r="AQ999" s="1311"/>
      <c r="AR999" s="1311"/>
      <c r="AS999" s="1311"/>
      <c r="AT999" s="1311"/>
      <c r="AU999" s="1311"/>
      <c r="AV999" s="1311"/>
      <c r="AW999" s="1311"/>
      <c r="AX999" s="1311"/>
      <c r="AY999" s="1311"/>
      <c r="AZ999" s="1311"/>
      <c r="BA999" s="1311"/>
      <c r="BB999" s="1311"/>
      <c r="BC999" s="1311"/>
      <c r="BD999" s="1311"/>
      <c r="BE999" s="1311"/>
      <c r="BF999" s="1311"/>
      <c r="BG999" s="1311"/>
      <c r="BH999" s="1311"/>
      <c r="BI999" s="1311"/>
      <c r="BJ999" s="1311"/>
      <c r="BK999" s="1311"/>
      <c r="BL999" s="1311"/>
      <c r="BM999" s="1311"/>
      <c r="BN999" s="1311"/>
      <c r="BO999" s="1311"/>
      <c r="BP999" s="1311"/>
      <c r="BQ999" s="1311"/>
      <c r="BR999" s="1311"/>
      <c r="BS999" s="1311"/>
      <c r="BT999" s="1311"/>
      <c r="BU999" s="1311"/>
      <c r="BV999" s="1311"/>
      <c r="BW999" s="1311"/>
      <c r="BX999" s="1311"/>
      <c r="BY999" s="1311"/>
      <c r="BZ999" s="1311"/>
      <c r="CA999" s="1311"/>
      <c r="CB999" s="1311"/>
      <c r="CC999" s="1311"/>
      <c r="CD999" s="1311"/>
      <c r="CE999" s="1311"/>
      <c r="CF999" s="1311"/>
      <c r="CG999" s="1311"/>
      <c r="CH999" s="1311"/>
      <c r="CI999" s="1311"/>
      <c r="CJ999" s="1311"/>
      <c r="CK999" s="1311"/>
      <c r="CL999" s="1311"/>
      <c r="CM999" s="1311"/>
      <c r="CN999" s="1311"/>
      <c r="CO999" s="1311"/>
      <c r="CP999" s="1311"/>
      <c r="CQ999" s="1311"/>
      <c r="CR999" s="1311"/>
      <c r="CS999" s="1311"/>
      <c r="CT999" s="1311"/>
      <c r="CU999" s="1311"/>
      <c r="CV999" s="1311"/>
      <c r="CW999" s="1311"/>
      <c r="CX999" s="1311"/>
      <c r="CY999" s="1311"/>
      <c r="CZ999" s="1311"/>
      <c r="DA999" s="1311"/>
      <c r="DB999" s="1311"/>
      <c r="DC999" s="1311"/>
      <c r="DD999" s="1311"/>
      <c r="DE999" s="1311"/>
      <c r="DF999" s="1311"/>
      <c r="DG999" s="1311"/>
      <c r="DH999" s="1311"/>
      <c r="DI999" s="1311"/>
      <c r="DJ999" s="1311"/>
      <c r="DK999" s="1311"/>
      <c r="DL999" s="1311"/>
      <c r="DM999" s="1311"/>
      <c r="DN999" s="1311"/>
      <c r="DO999" s="1311"/>
      <c r="DP999" s="1311"/>
      <c r="DQ999" s="1311"/>
      <c r="DR999" s="1311"/>
      <c r="DS999" s="1311"/>
      <c r="DT999" s="1311"/>
      <c r="DU999" s="1311"/>
      <c r="DV999" s="1311"/>
      <c r="DW999" s="1311"/>
      <c r="DX999" s="1311"/>
      <c r="DY999" s="1311"/>
      <c r="DZ999" s="1311"/>
      <c r="EA999" s="1311"/>
      <c r="EB999" s="1311"/>
      <c r="EC999" s="1311"/>
      <c r="ED999" s="1311"/>
      <c r="EE999" s="1311"/>
      <c r="EF999" s="1311"/>
      <c r="EG999" s="1311"/>
      <c r="EH999" s="1311"/>
      <c r="EI999" s="1311"/>
      <c r="EJ999" s="1311"/>
      <c r="EK999" s="1311"/>
      <c r="EL999" s="1311"/>
      <c r="EM999" s="1311"/>
      <c r="EN999" s="1311"/>
      <c r="EO999" s="1311"/>
      <c r="EP999" s="1311"/>
      <c r="EQ999" s="1311"/>
      <c r="ER999" s="1311"/>
      <c r="ES999" s="1311"/>
      <c r="ET999" s="1311"/>
      <c r="EU999" s="1311"/>
      <c r="EV999" s="1311"/>
      <c r="EW999" s="1311"/>
      <c r="EX999" s="1311"/>
      <c r="EY999" s="1311"/>
      <c r="EZ999" s="1311"/>
      <c r="FA999" s="1311"/>
      <c r="FB999" s="1311"/>
      <c r="FC999" s="1311"/>
      <c r="FD999" s="1311"/>
      <c r="FE999" s="1311"/>
      <c r="FF999" s="1311"/>
      <c r="FG999" s="1311"/>
      <c r="FH999" s="1311"/>
      <c r="FI999" s="1311"/>
      <c r="FJ999" s="1311"/>
      <c r="FK999" s="1311"/>
      <c r="FL999" s="1311"/>
      <c r="FM999" s="1311"/>
      <c r="FN999" s="1311"/>
      <c r="FO999" s="1311"/>
      <c r="FP999" s="1311"/>
      <c r="FQ999" s="1311"/>
      <c r="FR999" s="1311"/>
      <c r="FS999" s="1311"/>
      <c r="FT999" s="1311"/>
      <c r="FU999" s="1311"/>
      <c r="FV999" s="1311"/>
      <c r="FW999" s="1311"/>
      <c r="FX999" s="1311"/>
      <c r="FY999" s="1311"/>
      <c r="FZ999" s="1311"/>
      <c r="GA999" s="1311"/>
      <c r="GB999" s="1311"/>
      <c r="GC999" s="1311"/>
      <c r="GD999" s="1311"/>
      <c r="GE999" s="1311"/>
      <c r="GF999" s="1311"/>
      <c r="GG999" s="1311"/>
      <c r="GH999" s="1311"/>
      <c r="GI999" s="1311"/>
      <c r="GJ999" s="1311"/>
      <c r="GK999" s="1311"/>
      <c r="GL999" s="1311"/>
      <c r="GM999" s="1311"/>
      <c r="GN999" s="1311"/>
      <c r="GO999" s="1311"/>
      <c r="GP999" s="1311"/>
      <c r="GQ999" s="1311"/>
      <c r="GR999" s="1311"/>
      <c r="GS999" s="1311"/>
      <c r="GT999" s="1311"/>
      <c r="GU999" s="1311"/>
      <c r="GV999" s="1311"/>
      <c r="GW999" s="1311"/>
      <c r="GX999" s="1311"/>
      <c r="GY999" s="1311"/>
      <c r="GZ999" s="1311"/>
      <c r="HA999" s="1311"/>
      <c r="HB999" s="1311"/>
      <c r="HC999" s="1311"/>
      <c r="HD999" s="1311"/>
      <c r="HE999" s="1311"/>
      <c r="HF999" s="1311"/>
      <c r="HG999" s="1311"/>
      <c r="HH999" s="1311"/>
      <c r="HI999" s="1311"/>
      <c r="HJ999" s="1311"/>
      <c r="HK999" s="1311"/>
      <c r="HL999" s="1311"/>
      <c r="HM999" s="1311"/>
      <c r="HN999" s="1311"/>
      <c r="HO999" s="1311"/>
      <c r="HP999" s="1311"/>
      <c r="HQ999" s="1311"/>
      <c r="HR999" s="1311"/>
      <c r="HS999" s="1311"/>
      <c r="HT999" s="1311"/>
      <c r="HU999" s="1311"/>
      <c r="HV999" s="1311"/>
      <c r="HW999" s="1311"/>
      <c r="HX999" s="1311"/>
      <c r="HY999" s="1311"/>
      <c r="HZ999" s="1311"/>
      <c r="IA999" s="1311"/>
      <c r="IB999" s="1311"/>
      <c r="IC999" s="1311"/>
      <c r="ID999" s="1311"/>
      <c r="IE999" s="1311"/>
      <c r="IF999" s="1311"/>
      <c r="IG999" s="1311"/>
      <c r="IH999" s="1311"/>
      <c r="II999" s="1311"/>
      <c r="IJ999" s="1311"/>
      <c r="IK999" s="1311"/>
      <c r="IL999" s="1311"/>
      <c r="IM999" s="1311"/>
      <c r="IN999" s="1311"/>
      <c r="IO999" s="1311"/>
      <c r="IP999" s="1311"/>
      <c r="IQ999" s="1311"/>
      <c r="IR999" s="1311"/>
      <c r="IS999" s="1311"/>
      <c r="IT999" s="1311"/>
      <c r="IU999" s="1311"/>
      <c r="IV999" s="1311"/>
      <c r="IW999" s="1311"/>
      <c r="IX999" s="1311"/>
      <c r="IY999" s="1311"/>
      <c r="IZ999" s="1311"/>
      <c r="JA999" s="1311"/>
      <c r="JB999" s="1311"/>
      <c r="JC999" s="1311"/>
      <c r="JD999" s="1311"/>
      <c r="JE999" s="1311"/>
      <c r="JF999" s="1311"/>
      <c r="JG999" s="1311"/>
      <c r="JH999" s="1311"/>
      <c r="JI999" s="1311"/>
      <c r="JJ999" s="1311"/>
      <c r="JK999" s="1311"/>
      <c r="JL999" s="1311"/>
      <c r="JM999" s="1311"/>
      <c r="JN999" s="1311"/>
      <c r="JO999" s="1311"/>
      <c r="JP999" s="1311"/>
      <c r="JQ999" s="1311"/>
      <c r="JR999" s="1311"/>
      <c r="JS999" s="1311"/>
      <c r="JT999" s="1311"/>
      <c r="JU999" s="1311"/>
      <c r="JV999" s="1955"/>
      <c r="JW999" s="1311"/>
      <c r="JX999" s="1311"/>
      <c r="JY999" s="1311"/>
      <c r="JZ999" s="1311"/>
      <c r="KA999" s="1955"/>
      <c r="KB999" s="1955"/>
      <c r="KC999" s="1955"/>
      <c r="KD999" s="1955"/>
      <c r="KE999" s="1955"/>
      <c r="KF999" s="1955"/>
      <c r="KG999" s="1955"/>
      <c r="KH999" s="1955"/>
      <c r="KI999" s="1955"/>
      <c r="KJ999" s="1955"/>
      <c r="KK999" s="1955"/>
      <c r="KL999" s="1955"/>
      <c r="KM999" s="1955"/>
      <c r="KN999" s="1955"/>
      <c r="KO999" s="1955"/>
      <c r="KP999" s="1955"/>
      <c r="KQ999" s="1955"/>
      <c r="KR999" s="1955"/>
      <c r="KS999" s="1955"/>
      <c r="KT999" s="1955"/>
      <c r="KU999" s="1955"/>
      <c r="KV999" s="1955"/>
      <c r="KW999" s="1955"/>
      <c r="KX999" s="1955"/>
      <c r="KY999" s="1955"/>
      <c r="KZ999" s="1955"/>
      <c r="LA999" s="1955"/>
      <c r="LB999" s="1955"/>
      <c r="LC999" s="1955"/>
      <c r="LD999" s="1955"/>
      <c r="LE999" s="1955"/>
      <c r="LF999" s="1955"/>
      <c r="LG999" s="1311"/>
      <c r="LH999" s="1311"/>
      <c r="LI999" s="1311"/>
      <c r="LJ999" s="1311"/>
      <c r="LK999" s="1311"/>
      <c r="LL999" s="1311"/>
      <c r="LM999" s="1311"/>
      <c r="LN999" s="1311"/>
      <c r="LO999" s="1311"/>
      <c r="LP999" s="1311"/>
      <c r="LQ999" s="1311"/>
      <c r="LR999" s="1311"/>
      <c r="LS999" s="1311"/>
      <c r="LT999" s="1311"/>
      <c r="LU999" s="1311"/>
      <c r="LV999" s="1311"/>
      <c r="LW999" s="1311"/>
      <c r="LX999" s="1311"/>
      <c r="LY999" s="1311"/>
      <c r="LZ999" s="1311"/>
      <c r="MA999" s="1311"/>
      <c r="MB999" s="1311"/>
      <c r="MC999" s="1311"/>
      <c r="MD999" s="1311"/>
      <c r="ME999" s="1311"/>
      <c r="MF999" s="1311"/>
      <c r="MG999" s="1311"/>
      <c r="MH999" s="1311"/>
      <c r="MI999" s="1311"/>
      <c r="MJ999" s="1311"/>
      <c r="MK999" s="1311"/>
      <c r="ML999" s="1311"/>
      <c r="MM999" s="1311"/>
      <c r="MN999" s="1311"/>
      <c r="MO999" s="1311"/>
      <c r="MP999" s="1311"/>
      <c r="MQ999" s="1311"/>
      <c r="MR999" s="1311"/>
      <c r="MS999" s="1311"/>
    </row>
    <row r="1000" spans="1:357">
      <c r="A1000" s="1311"/>
      <c r="B1000" s="457" t="str">
        <f>'Part VI-Revenues &amp; Expenses'!B238</f>
        <v>Unit Turnover</v>
      </c>
      <c r="C1000" s="457"/>
      <c r="D1000" s="457"/>
      <c r="E1000" s="457"/>
      <c r="F1000" s="2012">
        <f>'Part VI-Revenues &amp; Expenses'!F238</f>
        <v>15000</v>
      </c>
      <c r="G1000" s="2012"/>
      <c r="H1000" s="1311"/>
      <c r="I1000" s="1311"/>
      <c r="J1000" s="1993"/>
      <c r="K1000" s="1311"/>
      <c r="L1000" s="1311"/>
      <c r="M1000" s="1311"/>
      <c r="N1000" s="1786" t="s">
        <v>3363</v>
      </c>
      <c r="O1000" s="2038" t="str">
        <f>CONCATENATE(O875," units x $",'DCA Underwriting Assumptions'!$Q$66," =")</f>
        <v>0 units x $420 =</v>
      </c>
      <c r="P1000" s="2038">
        <f>O875*'DCA Underwriting Assumptions'!$Q$66</f>
        <v>0</v>
      </c>
      <c r="Q1000" s="2038"/>
      <c r="R1000" s="1979">
        <f>'Part VI-Revenues &amp; Expenses'!R238</f>
        <v>0</v>
      </c>
      <c r="S1000" s="1979"/>
      <c r="T1000" s="1979"/>
      <c r="U1000" s="1979"/>
      <c r="V1000" s="1979"/>
      <c r="X1000" s="1311"/>
      <c r="Y1000" s="1311"/>
      <c r="Z1000" s="1311"/>
      <c r="AA1000" s="1311"/>
      <c r="AC1000" s="1311"/>
      <c r="AD1000" s="1311"/>
      <c r="AE1000" s="1311"/>
      <c r="AF1000" s="1311"/>
      <c r="AH1000" s="1311"/>
      <c r="AI1000" s="1311"/>
      <c r="AJ1000" s="1311"/>
      <c r="AK1000" s="1311"/>
      <c r="AM1000" s="1311"/>
      <c r="AN1000" s="1311"/>
      <c r="AO1000" s="1311"/>
      <c r="AP1000" s="1311"/>
      <c r="AQ1000" s="1311"/>
      <c r="AR1000" s="1311"/>
      <c r="AS1000" s="1311"/>
      <c r="AT1000" s="1311"/>
      <c r="AU1000" s="1311"/>
      <c r="AV1000" s="1311"/>
      <c r="AW1000" s="1311"/>
      <c r="AX1000" s="1311"/>
      <c r="AY1000" s="1311"/>
      <c r="AZ1000" s="1311"/>
      <c r="BA1000" s="1311"/>
      <c r="BB1000" s="1311"/>
      <c r="BC1000" s="1311"/>
      <c r="BD1000" s="1311"/>
      <c r="BE1000" s="1311"/>
      <c r="BF1000" s="1311"/>
      <c r="BG1000" s="1311"/>
      <c r="BH1000" s="1311"/>
      <c r="BI1000" s="1311"/>
      <c r="BJ1000" s="1311"/>
      <c r="BK1000" s="1311"/>
      <c r="BL1000" s="1311"/>
      <c r="BM1000" s="1311"/>
      <c r="BN1000" s="1311"/>
      <c r="BO1000" s="1311"/>
      <c r="BP1000" s="1311"/>
      <c r="BQ1000" s="1311"/>
      <c r="BR1000" s="1311"/>
      <c r="BS1000" s="1311"/>
      <c r="BT1000" s="1311"/>
      <c r="BU1000" s="1311"/>
      <c r="BV1000" s="1311"/>
      <c r="BW1000" s="1311"/>
      <c r="BX1000" s="1311"/>
      <c r="BY1000" s="1311"/>
      <c r="BZ1000" s="1311"/>
      <c r="CA1000" s="1311"/>
      <c r="CB1000" s="1311"/>
      <c r="CC1000" s="1311"/>
      <c r="CD1000" s="1311"/>
      <c r="CE1000" s="1311"/>
      <c r="CF1000" s="1311"/>
      <c r="CG1000" s="1311"/>
      <c r="CH1000" s="1311"/>
      <c r="CI1000" s="1311"/>
      <c r="CJ1000" s="1311"/>
      <c r="CK1000" s="1311"/>
      <c r="CL1000" s="1311"/>
      <c r="CM1000" s="1311"/>
      <c r="CN1000" s="1311"/>
      <c r="CO1000" s="1311"/>
      <c r="CP1000" s="1311"/>
      <c r="CQ1000" s="1311"/>
      <c r="CR1000" s="1311"/>
      <c r="CS1000" s="1311"/>
      <c r="CT1000" s="1311"/>
      <c r="CU1000" s="1311"/>
      <c r="CV1000" s="1311"/>
      <c r="CW1000" s="1311"/>
      <c r="CX1000" s="1311"/>
      <c r="CY1000" s="1311"/>
      <c r="CZ1000" s="1311"/>
      <c r="DA1000" s="1311"/>
      <c r="DB1000" s="1311"/>
      <c r="DC1000" s="1311"/>
      <c r="DD1000" s="1311"/>
      <c r="DE1000" s="1311"/>
      <c r="DF1000" s="1311"/>
      <c r="DG1000" s="1311"/>
      <c r="DH1000" s="1311"/>
      <c r="DI1000" s="1311"/>
      <c r="DJ1000" s="1311"/>
      <c r="DK1000" s="1311"/>
      <c r="DL1000" s="1311"/>
      <c r="DM1000" s="1311"/>
      <c r="DN1000" s="1311"/>
      <c r="DO1000" s="1311"/>
      <c r="DP1000" s="1311"/>
      <c r="DQ1000" s="1311"/>
      <c r="DR1000" s="1311"/>
      <c r="DS1000" s="1311"/>
      <c r="DT1000" s="1311"/>
      <c r="DU1000" s="1311"/>
      <c r="DV1000" s="1311"/>
      <c r="DW1000" s="1311"/>
      <c r="DX1000" s="1311"/>
      <c r="DY1000" s="1311"/>
      <c r="DZ1000" s="1311"/>
      <c r="EA1000" s="1311"/>
      <c r="EB1000" s="1311"/>
      <c r="EC1000" s="1311"/>
      <c r="ED1000" s="1311"/>
      <c r="EE1000" s="1311"/>
      <c r="EF1000" s="1311"/>
      <c r="EG1000" s="1311"/>
      <c r="EH1000" s="1311"/>
      <c r="EI1000" s="1311"/>
      <c r="EJ1000" s="1311"/>
      <c r="EK1000" s="1311"/>
      <c r="EL1000" s="1311"/>
      <c r="EM1000" s="1311"/>
      <c r="EN1000" s="1311"/>
      <c r="EO1000" s="1311"/>
      <c r="EP1000" s="1311"/>
      <c r="EQ1000" s="1311"/>
      <c r="ER1000" s="1311"/>
      <c r="ES1000" s="1311"/>
      <c r="ET1000" s="1311"/>
      <c r="EU1000" s="1311"/>
      <c r="EV1000" s="1311"/>
      <c r="EW1000" s="1311"/>
      <c r="EX1000" s="1311"/>
      <c r="EY1000" s="1311"/>
      <c r="EZ1000" s="1311"/>
      <c r="FA1000" s="1311"/>
      <c r="FB1000" s="1311"/>
      <c r="FC1000" s="1311"/>
      <c r="FD1000" s="1311"/>
      <c r="FE1000" s="1311"/>
      <c r="FF1000" s="1311"/>
      <c r="FG1000" s="1311"/>
      <c r="FH1000" s="1311"/>
      <c r="FI1000" s="1311"/>
      <c r="FJ1000" s="1311"/>
      <c r="FK1000" s="1311"/>
      <c r="FL1000" s="1311"/>
      <c r="FM1000" s="1311"/>
      <c r="FN1000" s="1311"/>
      <c r="FO1000" s="1311"/>
      <c r="FP1000" s="1311"/>
      <c r="FQ1000" s="1311"/>
      <c r="FR1000" s="1311"/>
      <c r="FS1000" s="1311"/>
      <c r="FT1000" s="1311"/>
      <c r="FU1000" s="1311"/>
      <c r="FV1000" s="1311"/>
      <c r="FW1000" s="1311"/>
      <c r="FX1000" s="1311"/>
      <c r="FY1000" s="1311"/>
      <c r="FZ1000" s="1311"/>
      <c r="GA1000" s="1311"/>
      <c r="GB1000" s="1311"/>
      <c r="GC1000" s="1311"/>
      <c r="GD1000" s="1311"/>
      <c r="GE1000" s="1311"/>
      <c r="GF1000" s="1311"/>
      <c r="GG1000" s="1311"/>
      <c r="GH1000" s="1311"/>
      <c r="GI1000" s="1311"/>
      <c r="GJ1000" s="1311"/>
      <c r="GK1000" s="1311"/>
      <c r="GL1000" s="1311"/>
      <c r="GM1000" s="1311"/>
      <c r="GN1000" s="1311"/>
      <c r="GO1000" s="1311"/>
      <c r="GP1000" s="1311"/>
      <c r="GQ1000" s="1311"/>
      <c r="GR1000" s="1311"/>
      <c r="GS1000" s="1311"/>
      <c r="GT1000" s="1311"/>
      <c r="GU1000" s="1311"/>
      <c r="GV1000" s="1311"/>
      <c r="GW1000" s="1311"/>
      <c r="GX1000" s="1311"/>
      <c r="GY1000" s="1311"/>
      <c r="GZ1000" s="1311"/>
      <c r="HA1000" s="1311"/>
      <c r="HB1000" s="1311"/>
      <c r="HC1000" s="1311"/>
      <c r="HD1000" s="1311"/>
      <c r="HE1000" s="1311"/>
      <c r="HF1000" s="1311"/>
      <c r="HG1000" s="1311"/>
      <c r="HH1000" s="1311"/>
      <c r="HI1000" s="1311"/>
      <c r="HJ1000" s="1311"/>
      <c r="HK1000" s="1311"/>
      <c r="HL1000" s="1311"/>
      <c r="HM1000" s="1311"/>
      <c r="HN1000" s="1311"/>
      <c r="HO1000" s="1311"/>
      <c r="HP1000" s="1311"/>
      <c r="HQ1000" s="1311"/>
      <c r="HR1000" s="1311"/>
      <c r="HS1000" s="1311"/>
      <c r="HT1000" s="1311"/>
      <c r="HU1000" s="1311"/>
      <c r="HV1000" s="1311"/>
      <c r="HW1000" s="1311"/>
      <c r="HX1000" s="1311"/>
      <c r="HY1000" s="1311"/>
      <c r="HZ1000" s="1311"/>
      <c r="IA1000" s="1311"/>
      <c r="IB1000" s="1311"/>
      <c r="IC1000" s="1311"/>
      <c r="ID1000" s="1311"/>
      <c r="IE1000" s="1311"/>
      <c r="IF1000" s="1311"/>
      <c r="IG1000" s="1311"/>
      <c r="IH1000" s="1311"/>
      <c r="II1000" s="1311"/>
      <c r="IJ1000" s="1311"/>
      <c r="IK1000" s="1311"/>
      <c r="IL1000" s="1311"/>
      <c r="IM1000" s="1311"/>
      <c r="IN1000" s="1311"/>
      <c r="IO1000" s="1311"/>
      <c r="IP1000" s="1311"/>
      <c r="IQ1000" s="1311"/>
      <c r="IR1000" s="1311"/>
      <c r="IS1000" s="1311"/>
      <c r="IT1000" s="1311"/>
      <c r="IU1000" s="1311"/>
      <c r="IV1000" s="1311"/>
      <c r="IW1000" s="1311"/>
      <c r="IX1000" s="1311"/>
      <c r="IY1000" s="1311"/>
      <c r="IZ1000" s="1311"/>
      <c r="JA1000" s="1311"/>
      <c r="JB1000" s="1311"/>
      <c r="JC1000" s="1311"/>
      <c r="JD1000" s="1311"/>
      <c r="JE1000" s="1311"/>
      <c r="JF1000" s="1311"/>
      <c r="JG1000" s="1311"/>
      <c r="JH1000" s="1311"/>
      <c r="JI1000" s="1311"/>
      <c r="JJ1000" s="1311"/>
      <c r="JK1000" s="1311"/>
      <c r="JL1000" s="1311"/>
      <c r="JM1000" s="1311"/>
      <c r="JN1000" s="1311"/>
      <c r="JO1000" s="1311"/>
      <c r="JP1000" s="1311"/>
      <c r="JQ1000" s="1311"/>
      <c r="JR1000" s="1311"/>
      <c r="JS1000" s="1311"/>
      <c r="JT1000" s="1311"/>
      <c r="JU1000" s="1311"/>
      <c r="JV1000" s="1955"/>
      <c r="JW1000" s="1311"/>
      <c r="JX1000" s="1311"/>
      <c r="JY1000" s="1311"/>
      <c r="JZ1000" s="1311"/>
      <c r="KA1000" s="1955"/>
      <c r="KB1000" s="1955"/>
      <c r="KC1000" s="1955"/>
      <c r="KD1000" s="1955"/>
      <c r="KE1000" s="1955"/>
      <c r="KF1000" s="1955"/>
      <c r="KG1000" s="1955"/>
      <c r="KH1000" s="1955"/>
      <c r="KI1000" s="1955"/>
      <c r="KJ1000" s="1955"/>
      <c r="KK1000" s="1955"/>
      <c r="KL1000" s="1955"/>
      <c r="KM1000" s="1955"/>
      <c r="KN1000" s="1955"/>
      <c r="KO1000" s="1955"/>
      <c r="KP1000" s="1955"/>
      <c r="KQ1000" s="1955"/>
      <c r="KR1000" s="1955"/>
      <c r="KS1000" s="1955"/>
      <c r="KT1000" s="1955"/>
      <c r="KU1000" s="1955"/>
      <c r="KV1000" s="1955"/>
      <c r="KW1000" s="1955"/>
      <c r="KX1000" s="1955"/>
      <c r="KY1000" s="1955"/>
      <c r="KZ1000" s="1955"/>
      <c r="LA1000" s="1955"/>
      <c r="LB1000" s="1955"/>
      <c r="LC1000" s="1955"/>
      <c r="LD1000" s="1955"/>
      <c r="LE1000" s="1955"/>
      <c r="LF1000" s="1955"/>
      <c r="LG1000" s="1311"/>
      <c r="LH1000" s="1311"/>
      <c r="LI1000" s="1311"/>
      <c r="LJ1000" s="1311"/>
      <c r="LK1000" s="1311"/>
      <c r="LL1000" s="1311"/>
      <c r="LM1000" s="1311"/>
      <c r="LN1000" s="1311"/>
      <c r="LO1000" s="1311"/>
      <c r="LP1000" s="1311"/>
      <c r="LQ1000" s="1311"/>
      <c r="LR1000" s="1311"/>
      <c r="LS1000" s="1311"/>
      <c r="LT1000" s="1311"/>
      <c r="LU1000" s="1311"/>
      <c r="LV1000" s="1311"/>
      <c r="LW1000" s="1311"/>
      <c r="LX1000" s="1311"/>
      <c r="LY1000" s="1311"/>
      <c r="LZ1000" s="1311"/>
      <c r="MA1000" s="1311"/>
      <c r="MB1000" s="1311"/>
      <c r="MC1000" s="1311"/>
      <c r="MD1000" s="1311"/>
      <c r="ME1000" s="1311"/>
      <c r="MF1000" s="1311"/>
      <c r="MG1000" s="1311"/>
      <c r="MH1000" s="1311"/>
      <c r="MI1000" s="1311"/>
      <c r="MJ1000" s="1311"/>
      <c r="MK1000" s="1311"/>
      <c r="ML1000" s="1311"/>
      <c r="MM1000" s="1311"/>
      <c r="MN1000" s="1311"/>
      <c r="MO1000" s="1311"/>
      <c r="MP1000" s="1311"/>
      <c r="MQ1000" s="1311"/>
      <c r="MR1000" s="1311"/>
      <c r="MS1000" s="1311"/>
    </row>
    <row r="1001" spans="1:357">
      <c r="A1001" s="1311"/>
      <c r="B1001" s="1311"/>
      <c r="C1001" s="2026" t="s">
        <v>189</v>
      </c>
      <c r="D1001" s="1311"/>
      <c r="E1001" s="1311"/>
      <c r="F1001" s="2012">
        <f>SUM(F993:G1000)</f>
        <v>66100</v>
      </c>
      <c r="G1001" s="2012"/>
      <c r="H1001" s="1311"/>
      <c r="I1001" s="1311"/>
      <c r="J1001" s="1993"/>
      <c r="K1001" s="1311"/>
      <c r="L1001" s="1311"/>
      <c r="M1001" s="1311"/>
      <c r="N1001" s="1981" t="s">
        <v>2678</v>
      </c>
      <c r="O1001" s="1977">
        <f>SUM(ME810:MI810)+SUM(MJ810:MN810)+SUM(MO810:MS810)+O875</f>
        <v>84</v>
      </c>
      <c r="P1001" s="1977">
        <f>SUM(P997:P1000)</f>
        <v>21000</v>
      </c>
      <c r="Q1001" s="2038"/>
      <c r="R1001" s="1979">
        <f>'Part VI-Revenues &amp; Expenses'!R239</f>
        <v>0</v>
      </c>
      <c r="S1001" s="1979"/>
      <c r="T1001" s="1979"/>
      <c r="U1001" s="1979"/>
      <c r="V1001" s="1979"/>
      <c r="X1001" s="1311"/>
      <c r="Y1001" s="1311"/>
      <c r="Z1001" s="1311"/>
      <c r="AA1001" s="1311"/>
      <c r="AC1001" s="1311"/>
      <c r="AD1001" s="1311"/>
      <c r="AE1001" s="1311"/>
      <c r="AF1001" s="1311"/>
      <c r="AH1001" s="1311"/>
      <c r="AI1001" s="1311"/>
      <c r="AJ1001" s="1311"/>
      <c r="AK1001" s="1311"/>
      <c r="AM1001" s="1311"/>
      <c r="AN1001" s="1311"/>
      <c r="AO1001" s="1311"/>
      <c r="AP1001" s="1311"/>
      <c r="AQ1001" s="1311"/>
      <c r="AR1001" s="1311"/>
      <c r="AS1001" s="1311"/>
      <c r="AT1001" s="1311"/>
      <c r="AU1001" s="1311"/>
      <c r="AV1001" s="1311"/>
      <c r="AW1001" s="1311"/>
      <c r="AX1001" s="1311"/>
      <c r="AY1001" s="1311"/>
      <c r="AZ1001" s="1311"/>
      <c r="BA1001" s="1311"/>
      <c r="BB1001" s="1311"/>
      <c r="BC1001" s="1311"/>
      <c r="BD1001" s="1311"/>
      <c r="BE1001" s="1311"/>
      <c r="BF1001" s="1311"/>
      <c r="BG1001" s="1311"/>
      <c r="BH1001" s="1311"/>
      <c r="BI1001" s="1311"/>
      <c r="BJ1001" s="1311"/>
      <c r="BK1001" s="1311"/>
      <c r="BL1001" s="1311"/>
      <c r="BM1001" s="1311"/>
      <c r="BN1001" s="1311"/>
      <c r="BO1001" s="1311"/>
      <c r="BP1001" s="1311"/>
      <c r="BQ1001" s="1311"/>
      <c r="BR1001" s="1311"/>
      <c r="BS1001" s="1311"/>
      <c r="BT1001" s="1311"/>
      <c r="BU1001" s="1311"/>
      <c r="BV1001" s="1311"/>
      <c r="BW1001" s="1311"/>
      <c r="BX1001" s="1311"/>
      <c r="BY1001" s="1311"/>
      <c r="BZ1001" s="1311"/>
      <c r="CA1001" s="1311"/>
      <c r="CB1001" s="1311"/>
      <c r="CC1001" s="1311"/>
      <c r="CD1001" s="1311"/>
      <c r="CE1001" s="1311"/>
      <c r="CF1001" s="1311"/>
      <c r="CG1001" s="1311"/>
      <c r="CH1001" s="1311"/>
      <c r="CI1001" s="1311"/>
      <c r="CJ1001" s="1311"/>
      <c r="CK1001" s="1311"/>
      <c r="CL1001" s="1311"/>
      <c r="CM1001" s="1311"/>
      <c r="CN1001" s="1311"/>
      <c r="CO1001" s="1311"/>
      <c r="CP1001" s="1311"/>
      <c r="CQ1001" s="1311"/>
      <c r="CR1001" s="1311"/>
      <c r="CS1001" s="1311"/>
      <c r="CT1001" s="1311"/>
      <c r="CU1001" s="1311"/>
      <c r="CV1001" s="1311"/>
      <c r="CW1001" s="1311"/>
      <c r="CX1001" s="1311"/>
      <c r="CY1001" s="1311"/>
      <c r="CZ1001" s="1311"/>
      <c r="DA1001" s="1311"/>
      <c r="DB1001" s="1311"/>
      <c r="DC1001" s="1311"/>
      <c r="DD1001" s="1311"/>
      <c r="DE1001" s="1311"/>
      <c r="DF1001" s="1311"/>
      <c r="DG1001" s="1311"/>
      <c r="DH1001" s="1311"/>
      <c r="DI1001" s="1311"/>
      <c r="DJ1001" s="1311"/>
      <c r="DK1001" s="1311"/>
      <c r="DL1001" s="1311"/>
      <c r="DM1001" s="1311"/>
      <c r="DN1001" s="1311"/>
      <c r="DO1001" s="1311"/>
      <c r="DP1001" s="1311"/>
      <c r="DQ1001" s="1311"/>
      <c r="DR1001" s="1311"/>
      <c r="DS1001" s="1311"/>
      <c r="DT1001" s="1311"/>
      <c r="DU1001" s="1311"/>
      <c r="DV1001" s="1311"/>
      <c r="DW1001" s="1311"/>
      <c r="DX1001" s="1311"/>
      <c r="DY1001" s="1311"/>
      <c r="DZ1001" s="1311"/>
      <c r="EA1001" s="1311"/>
      <c r="EB1001" s="1311"/>
      <c r="EC1001" s="1311"/>
      <c r="ED1001" s="1311"/>
      <c r="EE1001" s="1311"/>
      <c r="EF1001" s="1311"/>
      <c r="EG1001" s="1311"/>
      <c r="EH1001" s="1311"/>
      <c r="EI1001" s="1311"/>
      <c r="EJ1001" s="1311"/>
      <c r="EK1001" s="1311"/>
      <c r="EL1001" s="1311"/>
      <c r="EM1001" s="1311"/>
      <c r="EN1001" s="1311"/>
      <c r="EO1001" s="1311"/>
      <c r="EP1001" s="1311"/>
      <c r="EQ1001" s="1311"/>
      <c r="ER1001" s="1311"/>
      <c r="ES1001" s="1311"/>
      <c r="ET1001" s="1311"/>
      <c r="EU1001" s="1311"/>
      <c r="EV1001" s="1311"/>
      <c r="EW1001" s="1311"/>
      <c r="EX1001" s="1311"/>
      <c r="EY1001" s="1311"/>
      <c r="EZ1001" s="1311"/>
      <c r="FA1001" s="1311"/>
      <c r="FB1001" s="1311"/>
      <c r="FC1001" s="1311"/>
      <c r="FD1001" s="1311"/>
      <c r="FE1001" s="1311"/>
      <c r="FF1001" s="1311"/>
      <c r="FG1001" s="1311"/>
      <c r="FH1001" s="1311"/>
      <c r="FI1001" s="1311"/>
      <c r="FJ1001" s="1311"/>
      <c r="FK1001" s="1311"/>
      <c r="FL1001" s="1311"/>
      <c r="FM1001" s="1311"/>
      <c r="FN1001" s="1311"/>
      <c r="FO1001" s="1311"/>
      <c r="FP1001" s="1311"/>
      <c r="FQ1001" s="1311"/>
      <c r="FR1001" s="1311"/>
      <c r="FS1001" s="1311"/>
      <c r="FT1001" s="1311"/>
      <c r="FU1001" s="1311"/>
      <c r="FV1001" s="1311"/>
      <c r="FW1001" s="1311"/>
      <c r="FX1001" s="1311"/>
      <c r="FY1001" s="1311"/>
      <c r="FZ1001" s="1311"/>
      <c r="GA1001" s="1311"/>
      <c r="GB1001" s="1311"/>
      <c r="GC1001" s="1311"/>
      <c r="GD1001" s="1311"/>
      <c r="GE1001" s="1311"/>
      <c r="GF1001" s="1311"/>
      <c r="GG1001" s="1311"/>
      <c r="GH1001" s="1311"/>
      <c r="GI1001" s="1311"/>
      <c r="GJ1001" s="1311"/>
      <c r="GK1001" s="1311"/>
      <c r="GL1001" s="1311"/>
      <c r="GM1001" s="1311"/>
      <c r="GN1001" s="1311"/>
      <c r="GO1001" s="1311"/>
      <c r="GP1001" s="1311"/>
      <c r="GQ1001" s="1311"/>
      <c r="GR1001" s="1311"/>
      <c r="GS1001" s="1311"/>
      <c r="GT1001" s="1311"/>
      <c r="GU1001" s="1311"/>
      <c r="GV1001" s="1311"/>
      <c r="GW1001" s="1311"/>
      <c r="GX1001" s="1311"/>
      <c r="GY1001" s="1311"/>
      <c r="GZ1001" s="1311"/>
      <c r="HA1001" s="1311"/>
      <c r="HB1001" s="1311"/>
      <c r="HC1001" s="1311"/>
      <c r="HD1001" s="1311"/>
      <c r="HE1001" s="1311"/>
      <c r="HF1001" s="1311"/>
      <c r="HG1001" s="1311"/>
      <c r="HH1001" s="1311"/>
      <c r="HI1001" s="1311"/>
      <c r="HJ1001" s="1311"/>
      <c r="HK1001" s="1311"/>
      <c r="HL1001" s="1311"/>
      <c r="HM1001" s="1311"/>
      <c r="HN1001" s="1311"/>
      <c r="HO1001" s="1311"/>
      <c r="HP1001" s="1311"/>
      <c r="HQ1001" s="1311"/>
      <c r="HR1001" s="1311"/>
      <c r="HS1001" s="1311"/>
      <c r="HT1001" s="1311"/>
      <c r="HU1001" s="1311"/>
      <c r="HV1001" s="1311"/>
      <c r="HW1001" s="1311"/>
      <c r="HX1001" s="1311"/>
      <c r="HY1001" s="1311"/>
      <c r="HZ1001" s="1311"/>
      <c r="IA1001" s="1311"/>
      <c r="IB1001" s="1311"/>
      <c r="IC1001" s="1311"/>
      <c r="ID1001" s="1311"/>
      <c r="IE1001" s="1311"/>
      <c r="IF1001" s="1311"/>
      <c r="IG1001" s="1311"/>
      <c r="IH1001" s="1311"/>
      <c r="II1001" s="1311"/>
      <c r="IJ1001" s="1311"/>
      <c r="IK1001" s="1311"/>
      <c r="IL1001" s="1311"/>
      <c r="IM1001" s="1311"/>
      <c r="IN1001" s="1311"/>
      <c r="IO1001" s="1311"/>
      <c r="IP1001" s="1311"/>
      <c r="IQ1001" s="1311"/>
      <c r="IR1001" s="1311"/>
      <c r="IS1001" s="1311"/>
      <c r="IT1001" s="1311"/>
      <c r="IU1001" s="1311"/>
      <c r="IV1001" s="1311"/>
      <c r="IW1001" s="1311"/>
      <c r="IX1001" s="1311"/>
      <c r="IY1001" s="1311"/>
      <c r="IZ1001" s="1311"/>
      <c r="JA1001" s="1311"/>
      <c r="JB1001" s="1311"/>
      <c r="JC1001" s="1311"/>
      <c r="JD1001" s="1311"/>
      <c r="JE1001" s="1311"/>
      <c r="JF1001" s="1311"/>
      <c r="JG1001" s="1311"/>
      <c r="JH1001" s="1311"/>
      <c r="JI1001" s="1311"/>
      <c r="JJ1001" s="1311"/>
      <c r="JK1001" s="1311"/>
      <c r="JL1001" s="1311"/>
      <c r="JM1001" s="1311"/>
      <c r="JN1001" s="1311"/>
      <c r="JO1001" s="1311"/>
      <c r="JP1001" s="1311"/>
      <c r="JQ1001" s="1311"/>
      <c r="JR1001" s="1311"/>
      <c r="JS1001" s="1311"/>
      <c r="JT1001" s="1311"/>
      <c r="JU1001" s="1311"/>
      <c r="JV1001" s="1955"/>
      <c r="JW1001" s="1311"/>
      <c r="JX1001" s="1311"/>
      <c r="JY1001" s="1311"/>
      <c r="JZ1001" s="1311"/>
      <c r="KA1001" s="1955"/>
      <c r="KB1001" s="1955"/>
      <c r="KC1001" s="1955"/>
      <c r="KD1001" s="1955"/>
      <c r="KE1001" s="1955"/>
      <c r="KF1001" s="1955"/>
      <c r="KG1001" s="1955"/>
      <c r="KH1001" s="1955"/>
      <c r="KI1001" s="1955"/>
      <c r="KJ1001" s="1955"/>
      <c r="KK1001" s="1955"/>
      <c r="KL1001" s="1955"/>
      <c r="KM1001" s="1955"/>
      <c r="KN1001" s="1955"/>
      <c r="KO1001" s="1955"/>
      <c r="KP1001" s="1955"/>
      <c r="KQ1001" s="1955"/>
      <c r="KR1001" s="1955"/>
      <c r="KS1001" s="1955"/>
      <c r="KT1001" s="1955"/>
      <c r="KU1001" s="1955"/>
      <c r="KV1001" s="1955"/>
      <c r="KW1001" s="1955"/>
      <c r="KX1001" s="1955"/>
      <c r="KY1001" s="1955"/>
      <c r="KZ1001" s="1955"/>
      <c r="LA1001" s="1955"/>
      <c r="LB1001" s="1955"/>
      <c r="LC1001" s="1955"/>
      <c r="LD1001" s="1955"/>
      <c r="LE1001" s="1955"/>
      <c r="LF1001" s="1955"/>
      <c r="LG1001" s="1311"/>
      <c r="LH1001" s="1311"/>
      <c r="LI1001" s="1311"/>
      <c r="LJ1001" s="1311"/>
      <c r="LK1001" s="1311"/>
      <c r="LL1001" s="1311"/>
      <c r="LM1001" s="1311"/>
      <c r="LN1001" s="1311"/>
      <c r="LO1001" s="1311"/>
      <c r="LP1001" s="1311"/>
      <c r="LQ1001" s="1311"/>
      <c r="LR1001" s="1311"/>
      <c r="LS1001" s="1311"/>
      <c r="LT1001" s="1311"/>
      <c r="LU1001" s="1311"/>
      <c r="LV1001" s="1311"/>
      <c r="LW1001" s="1311"/>
      <c r="LX1001" s="1311"/>
      <c r="LY1001" s="1311"/>
      <c r="LZ1001" s="1311"/>
      <c r="MA1001" s="1311"/>
      <c r="MB1001" s="1311"/>
      <c r="MC1001" s="1311"/>
      <c r="MD1001" s="1311"/>
      <c r="ME1001" s="1311"/>
      <c r="MF1001" s="1311"/>
      <c r="MG1001" s="1311"/>
      <c r="MH1001" s="1311"/>
      <c r="MI1001" s="1311"/>
      <c r="MJ1001" s="1311"/>
      <c r="MK1001" s="1311"/>
      <c r="ML1001" s="1311"/>
      <c r="MM1001" s="1311"/>
      <c r="MN1001" s="1311"/>
      <c r="MO1001" s="1311"/>
      <c r="MP1001" s="1311"/>
      <c r="MQ1001" s="1311"/>
      <c r="MR1001" s="1311"/>
      <c r="MS1001" s="1311"/>
    </row>
    <row r="1002" spans="1:357">
      <c r="A1002" s="1311"/>
      <c r="B1002" s="1311"/>
      <c r="C1002" s="2026"/>
      <c r="D1002" s="1311"/>
      <c r="E1002" s="1311"/>
      <c r="F1002" s="1993"/>
      <c r="G1002" s="1993"/>
      <c r="H1002" s="1311"/>
      <c r="I1002" s="1311"/>
      <c r="J1002" s="1993"/>
      <c r="K1002" s="1311"/>
      <c r="L1002" s="1311"/>
      <c r="M1002" s="1311"/>
      <c r="N1002" s="1311"/>
      <c r="O1002" s="1311"/>
      <c r="P1002" s="1311"/>
      <c r="Q1002" s="1311"/>
      <c r="R1002" s="1311"/>
      <c r="S1002" s="1311"/>
      <c r="T1002" s="1311"/>
      <c r="U1002" s="1311"/>
      <c r="V1002" s="1311"/>
      <c r="X1002" s="1311"/>
      <c r="Y1002" s="1311"/>
      <c r="Z1002" s="1311"/>
      <c r="AA1002" s="1311"/>
      <c r="AC1002" s="1311"/>
      <c r="AD1002" s="1311"/>
      <c r="AE1002" s="1311"/>
      <c r="AF1002" s="1311"/>
      <c r="AH1002" s="1311"/>
      <c r="AI1002" s="1311"/>
      <c r="AJ1002" s="1311"/>
      <c r="AK1002" s="1311"/>
      <c r="AM1002" s="1311"/>
      <c r="AN1002" s="1311"/>
      <c r="AO1002" s="1311"/>
      <c r="AP1002" s="1311"/>
      <c r="AQ1002" s="1311"/>
      <c r="AR1002" s="1311"/>
      <c r="AS1002" s="1311"/>
      <c r="AT1002" s="1311"/>
      <c r="AU1002" s="1311"/>
      <c r="AV1002" s="1311"/>
      <c r="AW1002" s="1311"/>
      <c r="AX1002" s="1311"/>
      <c r="AY1002" s="1311"/>
      <c r="AZ1002" s="1311"/>
      <c r="BA1002" s="1311"/>
      <c r="BB1002" s="1311"/>
      <c r="BC1002" s="1311"/>
      <c r="BD1002" s="1311"/>
      <c r="BE1002" s="1311"/>
      <c r="BF1002" s="1311"/>
      <c r="BG1002" s="1311"/>
      <c r="BH1002" s="1311"/>
      <c r="BI1002" s="1311"/>
      <c r="BJ1002" s="1311"/>
      <c r="BK1002" s="1311"/>
      <c r="BL1002" s="1311"/>
      <c r="BM1002" s="1311"/>
      <c r="BN1002" s="1311"/>
      <c r="BO1002" s="1311"/>
      <c r="BP1002" s="1311"/>
      <c r="BQ1002" s="1311"/>
      <c r="BR1002" s="1311"/>
      <c r="BS1002" s="1311"/>
      <c r="BT1002" s="1311"/>
      <c r="BU1002" s="1311"/>
      <c r="BV1002" s="1311"/>
      <c r="BW1002" s="1311"/>
      <c r="BX1002" s="1311"/>
      <c r="BY1002" s="1311"/>
      <c r="BZ1002" s="1311"/>
      <c r="CA1002" s="1311"/>
      <c r="CB1002" s="1311"/>
      <c r="CC1002" s="1311"/>
      <c r="CD1002" s="1311"/>
      <c r="CE1002" s="1311"/>
      <c r="CF1002" s="1311"/>
      <c r="CG1002" s="1311"/>
      <c r="CH1002" s="1311"/>
      <c r="CI1002" s="1311"/>
      <c r="CJ1002" s="1311"/>
      <c r="CK1002" s="1311"/>
      <c r="CL1002" s="1311"/>
      <c r="CM1002" s="1311"/>
      <c r="CN1002" s="1311"/>
      <c r="CO1002" s="1311"/>
      <c r="CP1002" s="1311"/>
      <c r="CQ1002" s="1311"/>
      <c r="CR1002" s="1311"/>
      <c r="CS1002" s="1311"/>
      <c r="CT1002" s="1311"/>
      <c r="CU1002" s="1311"/>
      <c r="CV1002" s="1311"/>
      <c r="CW1002" s="1311"/>
      <c r="CX1002" s="1311"/>
      <c r="CY1002" s="1311"/>
      <c r="CZ1002" s="1311"/>
      <c r="DA1002" s="1311"/>
      <c r="DB1002" s="1311"/>
      <c r="DC1002" s="1311"/>
      <c r="DD1002" s="1311"/>
      <c r="DE1002" s="1311"/>
      <c r="DF1002" s="1311"/>
      <c r="DG1002" s="1311"/>
      <c r="DH1002" s="1311"/>
      <c r="DI1002" s="1311"/>
      <c r="DJ1002" s="1311"/>
      <c r="DK1002" s="1311"/>
      <c r="DL1002" s="1311"/>
      <c r="DM1002" s="1311"/>
      <c r="DN1002" s="1311"/>
      <c r="DO1002" s="1311"/>
      <c r="DP1002" s="1311"/>
      <c r="DQ1002" s="1311"/>
      <c r="DR1002" s="1311"/>
      <c r="DS1002" s="1311"/>
      <c r="DT1002" s="1311"/>
      <c r="DU1002" s="1311"/>
      <c r="DV1002" s="1311"/>
      <c r="DW1002" s="1311"/>
      <c r="DX1002" s="1311"/>
      <c r="DY1002" s="1311"/>
      <c r="DZ1002" s="1311"/>
      <c r="EA1002" s="1311"/>
      <c r="EB1002" s="1311"/>
      <c r="EC1002" s="1311"/>
      <c r="ED1002" s="1311"/>
      <c r="EE1002" s="1311"/>
      <c r="EF1002" s="1311"/>
      <c r="EG1002" s="1311"/>
      <c r="EH1002" s="1311"/>
      <c r="EI1002" s="1311"/>
      <c r="EJ1002" s="1311"/>
      <c r="EK1002" s="1311"/>
      <c r="EL1002" s="1311"/>
      <c r="EM1002" s="1311"/>
      <c r="EN1002" s="1311"/>
      <c r="EO1002" s="1311"/>
      <c r="EP1002" s="1311"/>
      <c r="EQ1002" s="1311"/>
      <c r="ER1002" s="1311"/>
      <c r="ES1002" s="1311"/>
      <c r="ET1002" s="1311"/>
      <c r="EU1002" s="1311"/>
      <c r="EV1002" s="1311"/>
      <c r="EW1002" s="1311"/>
      <c r="EX1002" s="1311"/>
      <c r="EY1002" s="1311"/>
      <c r="EZ1002" s="1311"/>
      <c r="FA1002" s="1311"/>
      <c r="FB1002" s="1311"/>
      <c r="FC1002" s="1311"/>
      <c r="FD1002" s="1311"/>
      <c r="FE1002" s="1311"/>
      <c r="FF1002" s="1311"/>
      <c r="FG1002" s="1311"/>
      <c r="FH1002" s="1311"/>
      <c r="FI1002" s="1311"/>
      <c r="FJ1002" s="1311"/>
      <c r="FK1002" s="1311"/>
      <c r="FL1002" s="1311"/>
      <c r="FM1002" s="1311"/>
      <c r="FN1002" s="1311"/>
      <c r="FO1002" s="1311"/>
      <c r="FP1002" s="1311"/>
      <c r="FQ1002" s="1311"/>
      <c r="FR1002" s="1311"/>
      <c r="FS1002" s="1311"/>
      <c r="FT1002" s="1311"/>
      <c r="FU1002" s="1311"/>
      <c r="FV1002" s="1311"/>
      <c r="FW1002" s="1311"/>
      <c r="FX1002" s="1311"/>
      <c r="FY1002" s="1311"/>
      <c r="FZ1002" s="1311"/>
      <c r="GA1002" s="1311"/>
      <c r="GB1002" s="1311"/>
      <c r="GC1002" s="1311"/>
      <c r="GD1002" s="1311"/>
      <c r="GE1002" s="1311"/>
      <c r="GF1002" s="1311"/>
      <c r="GG1002" s="1311"/>
      <c r="GH1002" s="1311"/>
      <c r="GI1002" s="1311"/>
      <c r="GJ1002" s="1311"/>
      <c r="GK1002" s="1311"/>
      <c r="GL1002" s="1311"/>
      <c r="GM1002" s="1311"/>
      <c r="GN1002" s="1311"/>
      <c r="GO1002" s="1311"/>
      <c r="GP1002" s="1311"/>
      <c r="GQ1002" s="1311"/>
      <c r="GR1002" s="1311"/>
      <c r="GS1002" s="1311"/>
      <c r="GT1002" s="1311"/>
      <c r="GU1002" s="1311"/>
      <c r="GV1002" s="1311"/>
      <c r="GW1002" s="1311"/>
      <c r="GX1002" s="1311"/>
      <c r="GY1002" s="1311"/>
      <c r="GZ1002" s="1311"/>
      <c r="HA1002" s="1311"/>
      <c r="HB1002" s="1311"/>
      <c r="HC1002" s="1311"/>
      <c r="HD1002" s="1311"/>
      <c r="HE1002" s="1311"/>
      <c r="HF1002" s="1311"/>
      <c r="HG1002" s="1311"/>
      <c r="HH1002" s="1311"/>
      <c r="HI1002" s="1311"/>
      <c r="HJ1002" s="1311"/>
      <c r="HK1002" s="1311"/>
      <c r="HL1002" s="1311"/>
      <c r="HM1002" s="1311"/>
      <c r="HN1002" s="1311"/>
      <c r="HO1002" s="1311"/>
      <c r="HP1002" s="1311"/>
      <c r="HQ1002" s="1311"/>
      <c r="HR1002" s="1311"/>
      <c r="HS1002" s="1311"/>
      <c r="HT1002" s="1311"/>
      <c r="HU1002" s="1311"/>
      <c r="HV1002" s="1311"/>
      <c r="HW1002" s="1311"/>
      <c r="HX1002" s="1311"/>
      <c r="HY1002" s="1311"/>
      <c r="HZ1002" s="1311"/>
      <c r="IA1002" s="1311"/>
      <c r="IB1002" s="1311"/>
      <c r="IC1002" s="1311"/>
      <c r="ID1002" s="1311"/>
      <c r="IE1002" s="1311"/>
      <c r="IF1002" s="1311"/>
      <c r="IG1002" s="1311"/>
      <c r="IH1002" s="1311"/>
      <c r="II1002" s="1311"/>
      <c r="IJ1002" s="1311"/>
      <c r="IK1002" s="1311"/>
      <c r="IL1002" s="1311"/>
      <c r="IM1002" s="1311"/>
      <c r="IN1002" s="1311"/>
      <c r="IO1002" s="1311"/>
      <c r="IP1002" s="1311"/>
      <c r="IQ1002" s="1311"/>
      <c r="IR1002" s="1311"/>
      <c r="IS1002" s="1311"/>
      <c r="IT1002" s="1311"/>
      <c r="IU1002" s="1311"/>
      <c r="IV1002" s="1311"/>
      <c r="IW1002" s="1311"/>
      <c r="IX1002" s="1311"/>
      <c r="IY1002" s="1311"/>
      <c r="IZ1002" s="1311"/>
      <c r="JA1002" s="1311"/>
      <c r="JB1002" s="1311"/>
      <c r="JC1002" s="1311"/>
      <c r="JD1002" s="1311"/>
      <c r="JE1002" s="1311"/>
      <c r="JF1002" s="1311"/>
      <c r="JG1002" s="1311"/>
      <c r="JH1002" s="1311"/>
      <c r="JI1002" s="1311"/>
      <c r="JJ1002" s="1311"/>
      <c r="JK1002" s="1311"/>
      <c r="JL1002" s="1311"/>
      <c r="JM1002" s="1311"/>
      <c r="JN1002" s="1311"/>
      <c r="JO1002" s="1311"/>
      <c r="JP1002" s="1311"/>
      <c r="JQ1002" s="1311"/>
      <c r="JR1002" s="1311"/>
      <c r="JS1002" s="1311"/>
      <c r="JT1002" s="1311"/>
      <c r="JU1002" s="1311"/>
      <c r="JV1002" s="1955"/>
      <c r="JW1002" s="1311"/>
      <c r="JX1002" s="1311"/>
      <c r="JY1002" s="1311"/>
      <c r="JZ1002" s="1311"/>
      <c r="KA1002" s="1955"/>
      <c r="KB1002" s="1955"/>
      <c r="KC1002" s="1955"/>
      <c r="KD1002" s="1955"/>
      <c r="KE1002" s="1955"/>
      <c r="KF1002" s="1955"/>
      <c r="KG1002" s="1955"/>
      <c r="KH1002" s="1955"/>
      <c r="KI1002" s="1955"/>
      <c r="KJ1002" s="1955"/>
      <c r="KK1002" s="1955"/>
      <c r="KL1002" s="1955"/>
      <c r="KM1002" s="1955"/>
      <c r="KN1002" s="1955"/>
      <c r="KO1002" s="1955"/>
      <c r="KP1002" s="1955"/>
      <c r="KQ1002" s="1955"/>
      <c r="KR1002" s="1955"/>
      <c r="KS1002" s="1955"/>
      <c r="KT1002" s="1955"/>
      <c r="KU1002" s="1955"/>
      <c r="KV1002" s="1955"/>
      <c r="KW1002" s="1955"/>
      <c r="KX1002" s="1955"/>
      <c r="KY1002" s="1955"/>
      <c r="KZ1002" s="1955"/>
      <c r="LA1002" s="1955"/>
      <c r="LB1002" s="1955"/>
      <c r="LC1002" s="1955"/>
      <c r="LD1002" s="1955"/>
      <c r="LE1002" s="1955"/>
      <c r="LF1002" s="1955"/>
      <c r="LG1002" s="1311"/>
      <c r="LH1002" s="1311"/>
      <c r="LI1002" s="1311"/>
      <c r="LJ1002" s="1311"/>
      <c r="LK1002" s="1311"/>
      <c r="LL1002" s="1311"/>
      <c r="LM1002" s="1311"/>
      <c r="LN1002" s="1311"/>
      <c r="LO1002" s="1311"/>
      <c r="LP1002" s="1311"/>
      <c r="LQ1002" s="1311"/>
      <c r="LR1002" s="1311"/>
      <c r="LS1002" s="1311"/>
      <c r="LT1002" s="1311"/>
      <c r="LU1002" s="1311"/>
      <c r="LV1002" s="1311"/>
      <c r="LW1002" s="1311"/>
      <c r="LX1002" s="1311"/>
      <c r="LY1002" s="1311"/>
      <c r="LZ1002" s="1311"/>
      <c r="MA1002" s="1311"/>
      <c r="MB1002" s="1311"/>
      <c r="MC1002" s="1311"/>
      <c r="MD1002" s="1311"/>
      <c r="ME1002" s="1311"/>
      <c r="MF1002" s="1311"/>
      <c r="MG1002" s="1311"/>
      <c r="MH1002" s="1311"/>
      <c r="MI1002" s="1311"/>
      <c r="MJ1002" s="1311"/>
      <c r="MK1002" s="1311"/>
      <c r="ML1002" s="1311"/>
      <c r="MM1002" s="1311"/>
      <c r="MN1002" s="1311"/>
      <c r="MO1002" s="1311"/>
      <c r="MP1002" s="1311"/>
      <c r="MQ1002" s="1311"/>
      <c r="MR1002" s="1311"/>
      <c r="MS1002" s="1311"/>
    </row>
    <row r="1003" spans="1:357">
      <c r="A1003" s="1311"/>
      <c r="B1003" s="1311"/>
      <c r="C1003" s="2026"/>
      <c r="D1003" s="1311"/>
      <c r="E1003" s="1311"/>
      <c r="F1003" s="1993"/>
      <c r="G1003" s="1993"/>
      <c r="H1003" s="1311"/>
      <c r="I1003" s="1311"/>
      <c r="J1003" s="1993"/>
      <c r="K1003" s="1311"/>
      <c r="L1003" s="1311"/>
      <c r="M1003" s="1311"/>
      <c r="N1003" s="1311" t="s">
        <v>2160</v>
      </c>
      <c r="O1003" s="1311"/>
      <c r="P1003" s="2013">
        <f>P988+P992</f>
        <v>477174</v>
      </c>
      <c r="Q1003" s="2013"/>
      <c r="R1003" s="1311"/>
      <c r="S1003" s="1311"/>
      <c r="T1003" s="1311"/>
      <c r="U1003" s="1311"/>
      <c r="V1003" s="1311"/>
      <c r="X1003" s="1311"/>
      <c r="Y1003" s="1311"/>
      <c r="Z1003" s="1311"/>
      <c r="AA1003" s="1311"/>
      <c r="AC1003" s="1311"/>
      <c r="AD1003" s="1311"/>
      <c r="AE1003" s="1311"/>
      <c r="AF1003" s="1311"/>
      <c r="AH1003" s="1311"/>
      <c r="AI1003" s="1311"/>
      <c r="AJ1003" s="1311"/>
      <c r="AK1003" s="1311"/>
      <c r="AM1003" s="1311"/>
      <c r="AN1003" s="1311"/>
      <c r="AO1003" s="1311"/>
      <c r="AP1003" s="1311"/>
      <c r="AQ1003" s="1311"/>
      <c r="AR1003" s="1311"/>
      <c r="AS1003" s="1311"/>
      <c r="AT1003" s="1311"/>
      <c r="AU1003" s="1311"/>
      <c r="AV1003" s="1311"/>
      <c r="AW1003" s="1311"/>
      <c r="AX1003" s="1311"/>
      <c r="AY1003" s="1311"/>
      <c r="AZ1003" s="1311"/>
      <c r="BA1003" s="1311"/>
      <c r="BB1003" s="1311"/>
      <c r="BC1003" s="1311"/>
      <c r="BD1003" s="1311"/>
      <c r="BE1003" s="1311"/>
      <c r="BF1003" s="1311"/>
      <c r="BG1003" s="1311"/>
      <c r="BH1003" s="1311"/>
      <c r="BI1003" s="1311"/>
      <c r="BJ1003" s="1311"/>
      <c r="BK1003" s="1311"/>
      <c r="BL1003" s="1311"/>
      <c r="BM1003" s="1311"/>
      <c r="BN1003" s="1311"/>
      <c r="BO1003" s="1311"/>
      <c r="BP1003" s="1311"/>
      <c r="BQ1003" s="1311"/>
      <c r="BR1003" s="1311"/>
      <c r="BS1003" s="1311"/>
      <c r="BT1003" s="1311"/>
      <c r="BU1003" s="1311"/>
      <c r="BV1003" s="1311"/>
      <c r="BW1003" s="1311"/>
      <c r="BX1003" s="1311"/>
      <c r="BY1003" s="1311"/>
      <c r="BZ1003" s="1311"/>
      <c r="CA1003" s="1311"/>
      <c r="CB1003" s="1311"/>
      <c r="CC1003" s="1311"/>
      <c r="CD1003" s="1311"/>
      <c r="CE1003" s="1311"/>
      <c r="CF1003" s="1311"/>
      <c r="CG1003" s="1311"/>
      <c r="CH1003" s="1311"/>
      <c r="CI1003" s="1311"/>
      <c r="CJ1003" s="1311"/>
      <c r="CK1003" s="1311"/>
      <c r="CL1003" s="1311"/>
      <c r="CM1003" s="1311"/>
      <c r="CN1003" s="1311"/>
      <c r="CO1003" s="1311"/>
      <c r="CP1003" s="1311"/>
      <c r="CQ1003" s="1311"/>
      <c r="CR1003" s="1311"/>
      <c r="CS1003" s="1311"/>
      <c r="CT1003" s="1311"/>
      <c r="CU1003" s="1311"/>
      <c r="CV1003" s="1311"/>
      <c r="CW1003" s="1311"/>
      <c r="CX1003" s="1311"/>
      <c r="CY1003" s="1311"/>
      <c r="CZ1003" s="1311"/>
      <c r="DA1003" s="1311"/>
      <c r="DB1003" s="1311"/>
      <c r="DC1003" s="1311"/>
      <c r="DD1003" s="1311"/>
      <c r="DE1003" s="1311"/>
      <c r="DF1003" s="1311"/>
      <c r="DG1003" s="1311"/>
      <c r="DH1003" s="1311"/>
      <c r="DI1003" s="1311"/>
      <c r="DJ1003" s="1311"/>
      <c r="DK1003" s="1311"/>
      <c r="DL1003" s="1311"/>
      <c r="DM1003" s="1311"/>
      <c r="DN1003" s="1311"/>
      <c r="DO1003" s="1311"/>
      <c r="DP1003" s="1311"/>
      <c r="DQ1003" s="1311"/>
      <c r="DR1003" s="1311"/>
      <c r="DS1003" s="1311"/>
      <c r="DT1003" s="1311"/>
      <c r="DU1003" s="1311"/>
      <c r="DV1003" s="1311"/>
      <c r="DW1003" s="1311"/>
      <c r="DX1003" s="1311"/>
      <c r="DY1003" s="1311"/>
      <c r="DZ1003" s="1311"/>
      <c r="EA1003" s="1311"/>
      <c r="EB1003" s="1311"/>
      <c r="EC1003" s="1311"/>
      <c r="ED1003" s="1311"/>
      <c r="EE1003" s="1311"/>
      <c r="EF1003" s="1311"/>
      <c r="EG1003" s="1311"/>
      <c r="EH1003" s="1311"/>
      <c r="EI1003" s="1311"/>
      <c r="EJ1003" s="1311"/>
      <c r="EK1003" s="1311"/>
      <c r="EL1003" s="1311"/>
      <c r="EM1003" s="1311"/>
      <c r="EN1003" s="1311"/>
      <c r="EO1003" s="1311"/>
      <c r="EP1003" s="1311"/>
      <c r="EQ1003" s="1311"/>
      <c r="ER1003" s="1311"/>
      <c r="ES1003" s="1311"/>
      <c r="ET1003" s="1311"/>
      <c r="EU1003" s="1311"/>
      <c r="EV1003" s="1311"/>
      <c r="EW1003" s="1311"/>
      <c r="EX1003" s="1311"/>
      <c r="EY1003" s="1311"/>
      <c r="EZ1003" s="1311"/>
      <c r="FA1003" s="1311"/>
      <c r="FB1003" s="1311"/>
      <c r="FC1003" s="1311"/>
      <c r="FD1003" s="1311"/>
      <c r="FE1003" s="1311"/>
      <c r="FF1003" s="1311"/>
      <c r="FG1003" s="1311"/>
      <c r="FH1003" s="1311"/>
      <c r="FI1003" s="1311"/>
      <c r="FJ1003" s="1311"/>
      <c r="FK1003" s="1311"/>
      <c r="FL1003" s="1311"/>
      <c r="FM1003" s="1311"/>
      <c r="FN1003" s="1311"/>
      <c r="FO1003" s="1311"/>
      <c r="FP1003" s="1311"/>
      <c r="FQ1003" s="1311"/>
      <c r="FR1003" s="1311"/>
      <c r="FS1003" s="1311"/>
      <c r="FT1003" s="1311"/>
      <c r="FU1003" s="1311"/>
      <c r="FV1003" s="1311"/>
      <c r="FW1003" s="1311"/>
      <c r="FX1003" s="1311"/>
      <c r="FY1003" s="1311"/>
      <c r="FZ1003" s="1311"/>
      <c r="GA1003" s="1311"/>
      <c r="GB1003" s="1311"/>
      <c r="GC1003" s="1311"/>
      <c r="GD1003" s="1311"/>
      <c r="GE1003" s="1311"/>
      <c r="GF1003" s="1311"/>
      <c r="GG1003" s="1311"/>
      <c r="GH1003" s="1311"/>
      <c r="GI1003" s="1311"/>
      <c r="GJ1003" s="1311"/>
      <c r="GK1003" s="1311"/>
      <c r="GL1003" s="1311"/>
      <c r="GM1003" s="1311"/>
      <c r="GN1003" s="1311"/>
      <c r="GO1003" s="1311"/>
      <c r="GP1003" s="1311"/>
      <c r="GQ1003" s="1311"/>
      <c r="GR1003" s="1311"/>
      <c r="GS1003" s="1311"/>
      <c r="GT1003" s="1311"/>
      <c r="GU1003" s="1311"/>
      <c r="GV1003" s="1311"/>
      <c r="GW1003" s="1311"/>
      <c r="GX1003" s="1311"/>
      <c r="GY1003" s="1311"/>
      <c r="GZ1003" s="1311"/>
      <c r="HA1003" s="1311"/>
      <c r="HB1003" s="1311"/>
      <c r="HC1003" s="1311"/>
      <c r="HD1003" s="1311"/>
      <c r="HE1003" s="1311"/>
      <c r="HF1003" s="1311"/>
      <c r="HG1003" s="1311"/>
      <c r="HH1003" s="1311"/>
      <c r="HI1003" s="1311"/>
      <c r="HJ1003" s="1311"/>
      <c r="HK1003" s="1311"/>
      <c r="HL1003" s="1311"/>
      <c r="HM1003" s="1311"/>
      <c r="HN1003" s="1311"/>
      <c r="HO1003" s="1311"/>
      <c r="HP1003" s="1311"/>
      <c r="HQ1003" s="1311"/>
      <c r="HR1003" s="1311"/>
      <c r="HS1003" s="1311"/>
      <c r="HT1003" s="1311"/>
      <c r="HU1003" s="1311"/>
      <c r="HV1003" s="1311"/>
      <c r="HW1003" s="1311"/>
      <c r="HX1003" s="1311"/>
      <c r="HY1003" s="1311"/>
      <c r="HZ1003" s="1311"/>
      <c r="IA1003" s="1311"/>
      <c r="IB1003" s="1311"/>
      <c r="IC1003" s="1311"/>
      <c r="ID1003" s="1311"/>
      <c r="IE1003" s="1311"/>
      <c r="IF1003" s="1311"/>
      <c r="IG1003" s="1311"/>
      <c r="IH1003" s="1311"/>
      <c r="II1003" s="1311"/>
      <c r="IJ1003" s="1311"/>
      <c r="IK1003" s="1311"/>
      <c r="IL1003" s="1311"/>
      <c r="IM1003" s="1311"/>
      <c r="IN1003" s="1311"/>
      <c r="IO1003" s="1311"/>
      <c r="IP1003" s="1311"/>
      <c r="IQ1003" s="1311"/>
      <c r="IR1003" s="1311"/>
      <c r="IS1003" s="1311"/>
      <c r="IT1003" s="1311"/>
      <c r="IU1003" s="1311"/>
      <c r="IV1003" s="1311"/>
      <c r="IW1003" s="1311"/>
      <c r="IX1003" s="1311"/>
      <c r="IY1003" s="1311"/>
      <c r="IZ1003" s="1311"/>
      <c r="JA1003" s="1311"/>
      <c r="JB1003" s="1311"/>
      <c r="JC1003" s="1311"/>
      <c r="JD1003" s="1311"/>
      <c r="JE1003" s="1311"/>
      <c r="JF1003" s="1311"/>
      <c r="JG1003" s="1311"/>
      <c r="JH1003" s="1311"/>
      <c r="JI1003" s="1311"/>
      <c r="JJ1003" s="1311"/>
      <c r="JK1003" s="1311"/>
      <c r="JL1003" s="1311"/>
      <c r="JM1003" s="1311"/>
      <c r="JN1003" s="1311"/>
      <c r="JO1003" s="1311"/>
      <c r="JP1003" s="1311"/>
      <c r="JQ1003" s="1311"/>
      <c r="JR1003" s="1311"/>
      <c r="JS1003" s="1311"/>
      <c r="JT1003" s="1311"/>
      <c r="JU1003" s="1311"/>
      <c r="JV1003" s="1955"/>
      <c r="JW1003" s="1311"/>
      <c r="JX1003" s="1311"/>
      <c r="JY1003" s="1311"/>
      <c r="JZ1003" s="1311"/>
      <c r="KA1003" s="1955"/>
      <c r="KB1003" s="1955"/>
      <c r="KC1003" s="1955"/>
      <c r="KD1003" s="1955"/>
      <c r="KE1003" s="1955"/>
      <c r="KF1003" s="1955"/>
      <c r="KG1003" s="1955"/>
      <c r="KH1003" s="1955"/>
      <c r="KI1003" s="1955"/>
      <c r="KJ1003" s="1955"/>
      <c r="KK1003" s="1955"/>
      <c r="KL1003" s="1955"/>
      <c r="KM1003" s="1955"/>
      <c r="KN1003" s="1955"/>
      <c r="KO1003" s="1955"/>
      <c r="KP1003" s="1955"/>
      <c r="KQ1003" s="1955"/>
      <c r="KR1003" s="1955"/>
      <c r="KS1003" s="1955"/>
      <c r="KT1003" s="1955"/>
      <c r="KU1003" s="1955"/>
      <c r="KV1003" s="1955"/>
      <c r="KW1003" s="1955"/>
      <c r="KX1003" s="1955"/>
      <c r="KY1003" s="1955"/>
      <c r="KZ1003" s="1955"/>
      <c r="LA1003" s="1955"/>
      <c r="LB1003" s="1955"/>
      <c r="LC1003" s="1955"/>
      <c r="LD1003" s="1955"/>
      <c r="LE1003" s="1955"/>
      <c r="LF1003" s="1955"/>
      <c r="LG1003" s="1311"/>
      <c r="LH1003" s="1311"/>
      <c r="LI1003" s="1311"/>
      <c r="LJ1003" s="1311"/>
      <c r="LK1003" s="1311"/>
      <c r="LL1003" s="1311"/>
      <c r="LM1003" s="1311"/>
      <c r="LN1003" s="1311"/>
      <c r="LO1003" s="1311"/>
      <c r="LP1003" s="1311"/>
      <c r="LQ1003" s="1311"/>
      <c r="LR1003" s="1311"/>
      <c r="LS1003" s="1311"/>
      <c r="LT1003" s="1311"/>
      <c r="LU1003" s="1311"/>
      <c r="LV1003" s="1311"/>
      <c r="LW1003" s="1311"/>
      <c r="LX1003" s="1311"/>
      <c r="LY1003" s="1311"/>
      <c r="LZ1003" s="1311"/>
      <c r="MA1003" s="1311"/>
      <c r="MB1003" s="1311"/>
      <c r="MC1003" s="1311"/>
      <c r="MD1003" s="1311"/>
      <c r="ME1003" s="1311"/>
      <c r="MF1003" s="1311"/>
      <c r="MG1003" s="1311"/>
      <c r="MH1003" s="1311"/>
      <c r="MI1003" s="1311"/>
      <c r="MJ1003" s="1311"/>
      <c r="MK1003" s="1311"/>
      <c r="ML1003" s="1311"/>
      <c r="MM1003" s="1311"/>
      <c r="MN1003" s="1311"/>
      <c r="MO1003" s="1311"/>
      <c r="MP1003" s="1311"/>
      <c r="MQ1003" s="1311"/>
      <c r="MR1003" s="1311"/>
      <c r="MS1003" s="1311"/>
    </row>
    <row r="1004" spans="1:357">
      <c r="A1004" s="1311"/>
      <c r="B1004" s="1311"/>
      <c r="C1004" s="2026"/>
      <c r="D1004" s="1311"/>
      <c r="E1004" s="1311"/>
      <c r="F1004" s="1993"/>
      <c r="G1004" s="1993"/>
      <c r="H1004" s="1311"/>
      <c r="I1004" s="1311"/>
      <c r="J1004" s="1993"/>
      <c r="K1004" s="1311"/>
      <c r="L1004" s="1311"/>
      <c r="M1004" s="1311"/>
      <c r="N1004" s="1311"/>
      <c r="O1004" s="1311"/>
      <c r="P1004" s="2013"/>
      <c r="Q1004" s="2013"/>
      <c r="R1004" s="1311"/>
      <c r="S1004" s="1311"/>
      <c r="T1004" s="1311"/>
      <c r="U1004" s="1311"/>
      <c r="V1004" s="1311"/>
      <c r="X1004" s="1311"/>
      <c r="Y1004" s="1311"/>
      <c r="Z1004" s="1311"/>
      <c r="AA1004" s="1311"/>
      <c r="AC1004" s="1311"/>
      <c r="AD1004" s="1311"/>
      <c r="AE1004" s="1311"/>
      <c r="AF1004" s="1311"/>
      <c r="AH1004" s="1311"/>
      <c r="AI1004" s="1311"/>
      <c r="AJ1004" s="1311"/>
      <c r="AK1004" s="1311"/>
      <c r="AM1004" s="1311"/>
      <c r="AN1004" s="1311"/>
      <c r="AO1004" s="1311"/>
      <c r="AP1004" s="1311"/>
      <c r="AQ1004" s="1311"/>
      <c r="AR1004" s="1311"/>
      <c r="AS1004" s="1311"/>
      <c r="AT1004" s="1311"/>
      <c r="AU1004" s="1311"/>
      <c r="AV1004" s="1311"/>
      <c r="AW1004" s="1311"/>
      <c r="AX1004" s="1311"/>
      <c r="AY1004" s="1311"/>
      <c r="AZ1004" s="1311"/>
      <c r="BA1004" s="1311"/>
      <c r="BB1004" s="1311"/>
      <c r="BC1004" s="1311"/>
      <c r="BD1004" s="1311"/>
      <c r="BE1004" s="1311"/>
      <c r="BF1004" s="1311"/>
      <c r="BG1004" s="1311"/>
      <c r="BH1004" s="1311"/>
      <c r="BI1004" s="1311"/>
      <c r="BJ1004" s="1311"/>
      <c r="BK1004" s="1311"/>
      <c r="BL1004" s="1311"/>
      <c r="BM1004" s="1311"/>
      <c r="BN1004" s="1311"/>
      <c r="BO1004" s="1311"/>
      <c r="BP1004" s="1311"/>
      <c r="BQ1004" s="1311"/>
      <c r="BR1004" s="1311"/>
      <c r="BS1004" s="1311"/>
      <c r="BT1004" s="1311"/>
      <c r="BU1004" s="1311"/>
      <c r="BV1004" s="1311"/>
      <c r="BW1004" s="1311"/>
      <c r="BX1004" s="1311"/>
      <c r="BY1004" s="1311"/>
      <c r="BZ1004" s="1311"/>
      <c r="CA1004" s="1311"/>
      <c r="CB1004" s="1311"/>
      <c r="CC1004" s="1311"/>
      <c r="CD1004" s="1311"/>
      <c r="CE1004" s="1311"/>
      <c r="CF1004" s="1311"/>
      <c r="CG1004" s="1311"/>
      <c r="CH1004" s="1311"/>
      <c r="CI1004" s="1311"/>
      <c r="CJ1004" s="1311"/>
      <c r="CK1004" s="1311"/>
      <c r="CL1004" s="1311"/>
      <c r="CM1004" s="1311"/>
      <c r="CN1004" s="1311"/>
      <c r="CO1004" s="1311"/>
      <c r="CP1004" s="1311"/>
      <c r="CQ1004" s="1311"/>
      <c r="CR1004" s="1311"/>
      <c r="CS1004" s="1311"/>
      <c r="CT1004" s="1311"/>
      <c r="CU1004" s="1311"/>
      <c r="CV1004" s="1311"/>
      <c r="CW1004" s="1311"/>
      <c r="CX1004" s="1311"/>
      <c r="CY1004" s="1311"/>
      <c r="CZ1004" s="1311"/>
      <c r="DA1004" s="1311"/>
      <c r="DB1004" s="1311"/>
      <c r="DC1004" s="1311"/>
      <c r="DD1004" s="1311"/>
      <c r="DE1004" s="1311"/>
      <c r="DF1004" s="1311"/>
      <c r="DG1004" s="1311"/>
      <c r="DH1004" s="1311"/>
      <c r="DI1004" s="1311"/>
      <c r="DJ1004" s="1311"/>
      <c r="DK1004" s="1311"/>
      <c r="DL1004" s="1311"/>
      <c r="DM1004" s="1311"/>
      <c r="DN1004" s="1311"/>
      <c r="DO1004" s="1311"/>
      <c r="DP1004" s="1311"/>
      <c r="DQ1004" s="1311"/>
      <c r="DR1004" s="1311"/>
      <c r="DS1004" s="1311"/>
      <c r="DT1004" s="1311"/>
      <c r="DU1004" s="1311"/>
      <c r="DV1004" s="1311"/>
      <c r="DW1004" s="1311"/>
      <c r="DX1004" s="1311"/>
      <c r="DY1004" s="1311"/>
      <c r="DZ1004" s="1311"/>
      <c r="EA1004" s="1311"/>
      <c r="EB1004" s="1311"/>
      <c r="EC1004" s="1311"/>
      <c r="ED1004" s="1311"/>
      <c r="EE1004" s="1311"/>
      <c r="EF1004" s="1311"/>
      <c r="EG1004" s="1311"/>
      <c r="EH1004" s="1311"/>
      <c r="EI1004" s="1311"/>
      <c r="EJ1004" s="1311"/>
      <c r="EK1004" s="1311"/>
      <c r="EL1004" s="1311"/>
      <c r="EM1004" s="1311"/>
      <c r="EN1004" s="1311"/>
      <c r="EO1004" s="1311"/>
      <c r="EP1004" s="1311"/>
      <c r="EQ1004" s="1311"/>
      <c r="ER1004" s="1311"/>
      <c r="ES1004" s="1311"/>
      <c r="ET1004" s="1311"/>
      <c r="EU1004" s="1311"/>
      <c r="EV1004" s="1311"/>
      <c r="EW1004" s="1311"/>
      <c r="EX1004" s="1311"/>
      <c r="EY1004" s="1311"/>
      <c r="EZ1004" s="1311"/>
      <c r="FA1004" s="1311"/>
      <c r="FB1004" s="1311"/>
      <c r="FC1004" s="1311"/>
      <c r="FD1004" s="1311"/>
      <c r="FE1004" s="1311"/>
      <c r="FF1004" s="1311"/>
      <c r="FG1004" s="1311"/>
      <c r="FH1004" s="1311"/>
      <c r="FI1004" s="1311"/>
      <c r="FJ1004" s="1311"/>
      <c r="FK1004" s="1311"/>
      <c r="FL1004" s="1311"/>
      <c r="FM1004" s="1311"/>
      <c r="FN1004" s="1311"/>
      <c r="FO1004" s="1311"/>
      <c r="FP1004" s="1311"/>
      <c r="FQ1004" s="1311"/>
      <c r="FR1004" s="1311"/>
      <c r="FS1004" s="1311"/>
      <c r="FT1004" s="1311"/>
      <c r="FU1004" s="1311"/>
      <c r="FV1004" s="1311"/>
      <c r="FW1004" s="1311"/>
      <c r="FX1004" s="1311"/>
      <c r="FY1004" s="1311"/>
      <c r="FZ1004" s="1311"/>
      <c r="GA1004" s="1311"/>
      <c r="GB1004" s="1311"/>
      <c r="GC1004" s="1311"/>
      <c r="GD1004" s="1311"/>
      <c r="GE1004" s="1311"/>
      <c r="GF1004" s="1311"/>
      <c r="GG1004" s="1311"/>
      <c r="GH1004" s="1311"/>
      <c r="GI1004" s="1311"/>
      <c r="GJ1004" s="1311"/>
      <c r="GK1004" s="1311"/>
      <c r="GL1004" s="1311"/>
      <c r="GM1004" s="1311"/>
      <c r="GN1004" s="1311"/>
      <c r="GO1004" s="1311"/>
      <c r="GP1004" s="1311"/>
      <c r="GQ1004" s="1311"/>
      <c r="GR1004" s="1311"/>
      <c r="GS1004" s="1311"/>
      <c r="GT1004" s="1311"/>
      <c r="GU1004" s="1311"/>
      <c r="GV1004" s="1311"/>
      <c r="GW1004" s="1311"/>
      <c r="GX1004" s="1311"/>
      <c r="GY1004" s="1311"/>
      <c r="GZ1004" s="1311"/>
      <c r="HA1004" s="1311"/>
      <c r="HB1004" s="1311"/>
      <c r="HC1004" s="1311"/>
      <c r="HD1004" s="1311"/>
      <c r="HE1004" s="1311"/>
      <c r="HF1004" s="1311"/>
      <c r="HG1004" s="1311"/>
      <c r="HH1004" s="1311"/>
      <c r="HI1004" s="1311"/>
      <c r="HJ1004" s="1311"/>
      <c r="HK1004" s="1311"/>
      <c r="HL1004" s="1311"/>
      <c r="HM1004" s="1311"/>
      <c r="HN1004" s="1311"/>
      <c r="HO1004" s="1311"/>
      <c r="HP1004" s="1311"/>
      <c r="HQ1004" s="1311"/>
      <c r="HR1004" s="1311"/>
      <c r="HS1004" s="1311"/>
      <c r="HT1004" s="1311"/>
      <c r="HU1004" s="1311"/>
      <c r="HV1004" s="1311"/>
      <c r="HW1004" s="1311"/>
      <c r="HX1004" s="1311"/>
      <c r="HY1004" s="1311"/>
      <c r="HZ1004" s="1311"/>
      <c r="IA1004" s="1311"/>
      <c r="IB1004" s="1311"/>
      <c r="IC1004" s="1311"/>
      <c r="ID1004" s="1311"/>
      <c r="IE1004" s="1311"/>
      <c r="IF1004" s="1311"/>
      <c r="IG1004" s="1311"/>
      <c r="IH1004" s="1311"/>
      <c r="II1004" s="1311"/>
      <c r="IJ1004" s="1311"/>
      <c r="IK1004" s="1311"/>
      <c r="IL1004" s="1311"/>
      <c r="IM1004" s="1311"/>
      <c r="IN1004" s="1311"/>
      <c r="IO1004" s="1311"/>
      <c r="IP1004" s="1311"/>
      <c r="IQ1004" s="1311"/>
      <c r="IR1004" s="1311"/>
      <c r="IS1004" s="1311"/>
      <c r="IT1004" s="1311"/>
      <c r="IU1004" s="1311"/>
      <c r="IV1004" s="1311"/>
      <c r="IW1004" s="1311"/>
      <c r="IX1004" s="1311"/>
      <c r="IY1004" s="1311"/>
      <c r="IZ1004" s="1311"/>
      <c r="JA1004" s="1311"/>
      <c r="JB1004" s="1311"/>
      <c r="JC1004" s="1311"/>
      <c r="JD1004" s="1311"/>
      <c r="JE1004" s="1311"/>
      <c r="JF1004" s="1311"/>
      <c r="JG1004" s="1311"/>
      <c r="JH1004" s="1311"/>
      <c r="JI1004" s="1311"/>
      <c r="JJ1004" s="1311"/>
      <c r="JK1004" s="1311"/>
      <c r="JL1004" s="1311"/>
      <c r="JM1004" s="1311"/>
      <c r="JN1004" s="1311"/>
      <c r="JO1004" s="1311"/>
      <c r="JP1004" s="1311"/>
      <c r="JQ1004" s="1311"/>
      <c r="JR1004" s="1311"/>
      <c r="JS1004" s="1311"/>
      <c r="JT1004" s="1311"/>
      <c r="JU1004" s="1311"/>
      <c r="JV1004" s="1955"/>
      <c r="JW1004" s="1311"/>
      <c r="JX1004" s="1311"/>
      <c r="JY1004" s="1311"/>
      <c r="JZ1004" s="1311"/>
      <c r="KA1004" s="1955"/>
      <c r="KB1004" s="1955"/>
      <c r="KC1004" s="1955"/>
      <c r="KD1004" s="1955"/>
      <c r="KE1004" s="1955"/>
      <c r="KF1004" s="1955"/>
      <c r="KG1004" s="1955"/>
      <c r="KH1004" s="1955"/>
      <c r="KI1004" s="1955"/>
      <c r="KJ1004" s="1955"/>
      <c r="KK1004" s="1955"/>
      <c r="KL1004" s="1955"/>
      <c r="KM1004" s="1955"/>
      <c r="KN1004" s="1955"/>
      <c r="KO1004" s="1955"/>
      <c r="KP1004" s="1955"/>
      <c r="KQ1004" s="1955"/>
      <c r="KR1004" s="1955"/>
      <c r="KS1004" s="1955"/>
      <c r="KT1004" s="1955"/>
      <c r="KU1004" s="1955"/>
      <c r="KV1004" s="1955"/>
      <c r="KW1004" s="1955"/>
      <c r="KX1004" s="1955"/>
      <c r="KY1004" s="1955"/>
      <c r="KZ1004" s="1955"/>
      <c r="LA1004" s="1955"/>
      <c r="LB1004" s="1955"/>
      <c r="LC1004" s="1955"/>
      <c r="LD1004" s="1955"/>
      <c r="LE1004" s="1955"/>
      <c r="LF1004" s="1955"/>
      <c r="LG1004" s="1311"/>
      <c r="LH1004" s="1311"/>
      <c r="LI1004" s="1311"/>
      <c r="LJ1004" s="1311"/>
      <c r="LK1004" s="1311"/>
      <c r="LL1004" s="1311"/>
      <c r="LM1004" s="1311"/>
      <c r="LN1004" s="1311"/>
      <c r="LO1004" s="1311"/>
      <c r="LP1004" s="1311"/>
      <c r="LQ1004" s="1311"/>
      <c r="LR1004" s="1311"/>
      <c r="LS1004" s="1311"/>
      <c r="LT1004" s="1311"/>
      <c r="LU1004" s="1311"/>
      <c r="LV1004" s="1311"/>
      <c r="LW1004" s="1311"/>
      <c r="LX1004" s="1311"/>
      <c r="LY1004" s="1311"/>
      <c r="LZ1004" s="1311"/>
      <c r="MA1004" s="1311"/>
      <c r="MB1004" s="1311"/>
      <c r="MC1004" s="1311"/>
      <c r="MD1004" s="1311"/>
      <c r="ME1004" s="1311"/>
      <c r="MF1004" s="1311"/>
      <c r="MG1004" s="1311"/>
      <c r="MH1004" s="1311"/>
      <c r="MI1004" s="1311"/>
      <c r="MJ1004" s="1311"/>
      <c r="MK1004" s="1311"/>
      <c r="ML1004" s="1311"/>
      <c r="MM1004" s="1311"/>
      <c r="MN1004" s="1311"/>
      <c r="MO1004" s="1311"/>
      <c r="MP1004" s="1311"/>
      <c r="MQ1004" s="1311"/>
      <c r="MR1004" s="1311"/>
      <c r="MS1004" s="1311"/>
    </row>
    <row r="1005" spans="1:357">
      <c r="A1005" s="638" t="s">
        <v>1772</v>
      </c>
      <c r="B1005" s="1311" t="s">
        <v>4665</v>
      </c>
      <c r="C1005" s="2026"/>
      <c r="D1005" s="1311"/>
      <c r="E1005" s="1311"/>
      <c r="F1005" s="2039" t="s">
        <v>4666</v>
      </c>
      <c r="G1005" s="1993"/>
      <c r="H1005" s="2013">
        <f>'Part VI-Revenues &amp; Expenses'!H243</f>
        <v>0</v>
      </c>
      <c r="I1005" s="2013"/>
      <c r="J1005" s="1993"/>
      <c r="K1005" s="1988" t="s">
        <v>4667</v>
      </c>
      <c r="L1005" s="1965">
        <f>'Part VI-Revenues &amp; Expenses'!K243</f>
        <v>0</v>
      </c>
      <c r="M1005" s="1311"/>
      <c r="N1005" s="1311" t="s">
        <v>4669</v>
      </c>
      <c r="O1005" s="1311"/>
      <c r="P1005" s="1965">
        <f>'Part VI-Revenues &amp; Expenses'!P243</f>
        <v>0</v>
      </c>
      <c r="Q1005" s="2013"/>
      <c r="R1005" s="1979">
        <f>'Part VI-Revenues &amp; Expenses'!R243</f>
        <v>0</v>
      </c>
      <c r="S1005" s="1979"/>
      <c r="T1005" s="1979"/>
      <c r="U1005" s="1979"/>
      <c r="V1005" s="1979"/>
      <c r="X1005" s="1311"/>
      <c r="Y1005" s="1311"/>
      <c r="Z1005" s="1311"/>
      <c r="AA1005" s="1311"/>
      <c r="AC1005" s="1311"/>
      <c r="AD1005" s="1311"/>
      <c r="AE1005" s="1311"/>
      <c r="AF1005" s="1311"/>
      <c r="AH1005" s="1311"/>
      <c r="AI1005" s="1311"/>
      <c r="AJ1005" s="1311"/>
      <c r="AK1005" s="1311"/>
      <c r="AM1005" s="1311"/>
      <c r="AN1005" s="1311"/>
      <c r="AO1005" s="1311"/>
      <c r="AP1005" s="1311"/>
      <c r="AQ1005" s="1311"/>
      <c r="AR1005" s="1311"/>
      <c r="AS1005" s="1311"/>
      <c r="AT1005" s="1311"/>
      <c r="AU1005" s="1311"/>
      <c r="AV1005" s="1311"/>
      <c r="AW1005" s="1311"/>
      <c r="AX1005" s="1311"/>
      <c r="AY1005" s="1311"/>
      <c r="AZ1005" s="1311"/>
      <c r="BA1005" s="1311"/>
      <c r="BB1005" s="1311"/>
      <c r="BC1005" s="1311"/>
      <c r="BD1005" s="1311"/>
      <c r="BE1005" s="1311"/>
      <c r="BF1005" s="1311"/>
      <c r="BG1005" s="1311"/>
      <c r="BH1005" s="1311"/>
      <c r="BI1005" s="1311"/>
      <c r="BJ1005" s="1311"/>
      <c r="BK1005" s="1311"/>
      <c r="BL1005" s="1311"/>
      <c r="BM1005" s="1311"/>
      <c r="BN1005" s="1311"/>
      <c r="BO1005" s="1311"/>
      <c r="BP1005" s="1311"/>
      <c r="BQ1005" s="1311"/>
      <c r="BR1005" s="1311"/>
      <c r="BS1005" s="1311"/>
      <c r="BT1005" s="1311"/>
      <c r="BU1005" s="1311"/>
      <c r="BV1005" s="1311"/>
      <c r="BW1005" s="1311"/>
      <c r="BX1005" s="1311"/>
      <c r="BY1005" s="1311"/>
      <c r="BZ1005" s="1311"/>
      <c r="CA1005" s="1311"/>
      <c r="CB1005" s="1311"/>
      <c r="CC1005" s="1311"/>
      <c r="CD1005" s="1311"/>
      <c r="CE1005" s="1311"/>
      <c r="CF1005" s="1311"/>
      <c r="CG1005" s="1311"/>
      <c r="CH1005" s="1311"/>
      <c r="CI1005" s="1311"/>
      <c r="CJ1005" s="1311"/>
      <c r="CK1005" s="1311"/>
      <c r="CL1005" s="1311"/>
      <c r="CM1005" s="1311"/>
      <c r="CN1005" s="1311"/>
      <c r="CO1005" s="1311"/>
      <c r="CP1005" s="1311"/>
      <c r="CQ1005" s="1311"/>
      <c r="CR1005" s="1311"/>
      <c r="CS1005" s="1311"/>
      <c r="CT1005" s="1311"/>
      <c r="CU1005" s="1311"/>
      <c r="CV1005" s="1311"/>
      <c r="CW1005" s="1311"/>
      <c r="CX1005" s="1311"/>
      <c r="CY1005" s="1311"/>
      <c r="CZ1005" s="1311"/>
      <c r="DA1005" s="1311"/>
      <c r="DB1005" s="1311"/>
      <c r="DC1005" s="1311"/>
      <c r="DD1005" s="1311"/>
      <c r="DE1005" s="1311"/>
      <c r="DF1005" s="1311"/>
      <c r="DG1005" s="1311"/>
      <c r="DH1005" s="1311"/>
      <c r="DI1005" s="1311"/>
      <c r="DJ1005" s="1311"/>
      <c r="DK1005" s="1311"/>
      <c r="DL1005" s="1311"/>
      <c r="DM1005" s="1311"/>
      <c r="DN1005" s="1311"/>
      <c r="DO1005" s="1311"/>
      <c r="DP1005" s="1311"/>
      <c r="DQ1005" s="1311"/>
      <c r="DR1005" s="1311"/>
      <c r="DS1005" s="1311"/>
      <c r="DT1005" s="1311"/>
      <c r="DU1005" s="1311"/>
      <c r="DV1005" s="1311"/>
      <c r="DW1005" s="1311"/>
      <c r="DX1005" s="1311"/>
      <c r="DY1005" s="1311"/>
      <c r="DZ1005" s="1311"/>
      <c r="EA1005" s="1311"/>
      <c r="EB1005" s="1311"/>
      <c r="EC1005" s="1311"/>
      <c r="ED1005" s="1311"/>
      <c r="EE1005" s="1311"/>
      <c r="EF1005" s="1311"/>
      <c r="EG1005" s="1311"/>
      <c r="EH1005" s="1311"/>
      <c r="EI1005" s="1311"/>
      <c r="EJ1005" s="1311"/>
      <c r="EK1005" s="1311"/>
      <c r="EL1005" s="1311"/>
      <c r="EM1005" s="1311"/>
      <c r="EN1005" s="1311"/>
      <c r="EO1005" s="1311"/>
      <c r="EP1005" s="1311"/>
      <c r="EQ1005" s="1311"/>
      <c r="ER1005" s="1311"/>
      <c r="ES1005" s="1311"/>
      <c r="ET1005" s="1311"/>
      <c r="EU1005" s="1311"/>
      <c r="EV1005" s="1311"/>
      <c r="EW1005" s="1311"/>
      <c r="EX1005" s="1311"/>
      <c r="EY1005" s="1311"/>
      <c r="EZ1005" s="1311"/>
      <c r="FA1005" s="1311"/>
      <c r="FB1005" s="1311"/>
      <c r="FC1005" s="1311"/>
      <c r="FD1005" s="1311"/>
      <c r="FE1005" s="1311"/>
      <c r="FF1005" s="1311"/>
      <c r="FG1005" s="1311"/>
      <c r="FH1005" s="1311"/>
      <c r="FI1005" s="1311"/>
      <c r="FJ1005" s="1311"/>
      <c r="FK1005" s="1311"/>
      <c r="FL1005" s="1311"/>
      <c r="FM1005" s="1311"/>
      <c r="FN1005" s="1311"/>
      <c r="FO1005" s="1311"/>
      <c r="FP1005" s="1311"/>
      <c r="FQ1005" s="1311"/>
      <c r="FR1005" s="1311"/>
      <c r="FS1005" s="1311"/>
      <c r="FT1005" s="1311"/>
      <c r="FU1005" s="1311"/>
      <c r="FV1005" s="1311"/>
      <c r="FW1005" s="1311"/>
      <c r="FX1005" s="1311"/>
      <c r="FY1005" s="1311"/>
      <c r="FZ1005" s="1311"/>
      <c r="GA1005" s="1311"/>
      <c r="GB1005" s="1311"/>
      <c r="GC1005" s="1311"/>
      <c r="GD1005" s="1311"/>
      <c r="GE1005" s="1311"/>
      <c r="GF1005" s="1311"/>
      <c r="GG1005" s="1311"/>
      <c r="GH1005" s="1311"/>
      <c r="GI1005" s="1311"/>
      <c r="GJ1005" s="1311"/>
      <c r="GK1005" s="1311"/>
      <c r="GL1005" s="1311"/>
      <c r="GM1005" s="1311"/>
      <c r="GN1005" s="1311"/>
      <c r="GO1005" s="1311"/>
      <c r="GP1005" s="1311"/>
      <c r="GQ1005" s="1311"/>
      <c r="GR1005" s="1311"/>
      <c r="GS1005" s="1311"/>
      <c r="GT1005" s="1311"/>
      <c r="GU1005" s="1311"/>
      <c r="GV1005" s="1311"/>
      <c r="GW1005" s="1311"/>
      <c r="GX1005" s="1311"/>
      <c r="GY1005" s="1311"/>
      <c r="GZ1005" s="1311"/>
      <c r="HA1005" s="1311"/>
      <c r="HB1005" s="1311"/>
      <c r="HC1005" s="1311"/>
      <c r="HD1005" s="1311"/>
      <c r="HE1005" s="1311"/>
      <c r="HF1005" s="1311"/>
      <c r="HG1005" s="1311"/>
      <c r="HH1005" s="1311"/>
      <c r="HI1005" s="1311"/>
      <c r="HJ1005" s="1311"/>
      <c r="HK1005" s="1311"/>
      <c r="HL1005" s="1311"/>
      <c r="HM1005" s="1311"/>
      <c r="HN1005" s="1311"/>
      <c r="HO1005" s="1311"/>
      <c r="HP1005" s="1311"/>
      <c r="HQ1005" s="1311"/>
      <c r="HR1005" s="1311"/>
      <c r="HS1005" s="1311"/>
      <c r="HT1005" s="1311"/>
      <c r="HU1005" s="1311"/>
      <c r="HV1005" s="1311"/>
      <c r="HW1005" s="1311"/>
      <c r="HX1005" s="1311"/>
      <c r="HY1005" s="1311"/>
      <c r="HZ1005" s="1311"/>
      <c r="IA1005" s="1311"/>
      <c r="IB1005" s="1311"/>
      <c r="IC1005" s="1311"/>
      <c r="ID1005" s="1311"/>
      <c r="IE1005" s="1311"/>
      <c r="IF1005" s="1311"/>
      <c r="IG1005" s="1311"/>
      <c r="IH1005" s="1311"/>
      <c r="II1005" s="1311"/>
      <c r="IJ1005" s="1311"/>
      <c r="IK1005" s="1311"/>
      <c r="IL1005" s="1311"/>
      <c r="IM1005" s="1311"/>
      <c r="IN1005" s="1311"/>
      <c r="IO1005" s="1311"/>
      <c r="IP1005" s="1311"/>
      <c r="IQ1005" s="1311"/>
      <c r="IR1005" s="1311"/>
      <c r="IS1005" s="1311"/>
      <c r="IT1005" s="1311"/>
      <c r="IU1005" s="1311"/>
      <c r="IV1005" s="1311"/>
      <c r="IW1005" s="1311"/>
      <c r="IX1005" s="1311"/>
      <c r="IY1005" s="1311"/>
      <c r="IZ1005" s="1311"/>
      <c r="JA1005" s="1311"/>
      <c r="JB1005" s="1311"/>
      <c r="JC1005" s="1311"/>
      <c r="JD1005" s="1311"/>
      <c r="JE1005" s="1311"/>
      <c r="JF1005" s="1311"/>
      <c r="JG1005" s="1311"/>
      <c r="JH1005" s="1311"/>
      <c r="JI1005" s="1311"/>
      <c r="JJ1005" s="1311"/>
      <c r="JK1005" s="1311"/>
      <c r="JL1005" s="1311"/>
      <c r="JM1005" s="1311"/>
      <c r="JN1005" s="1311"/>
      <c r="JO1005" s="1311"/>
      <c r="JP1005" s="1311"/>
      <c r="JQ1005" s="1311"/>
      <c r="JR1005" s="1311"/>
      <c r="JS1005" s="1311"/>
      <c r="JT1005" s="1311"/>
      <c r="JU1005" s="1311"/>
      <c r="JV1005" s="1955"/>
      <c r="JW1005" s="1311"/>
      <c r="JX1005" s="1311"/>
      <c r="JY1005" s="1311"/>
      <c r="JZ1005" s="1311"/>
      <c r="KA1005" s="1955"/>
      <c r="KB1005" s="1955"/>
      <c r="KC1005" s="1955"/>
      <c r="KD1005" s="1955"/>
      <c r="KE1005" s="1955"/>
      <c r="KF1005" s="1955"/>
      <c r="KG1005" s="1955"/>
      <c r="KH1005" s="1955"/>
      <c r="KI1005" s="1955"/>
      <c r="KJ1005" s="1955"/>
      <c r="KK1005" s="1955"/>
      <c r="KL1005" s="1955"/>
      <c r="KM1005" s="1955"/>
      <c r="KN1005" s="1955"/>
      <c r="KO1005" s="1955"/>
      <c r="KP1005" s="1955"/>
      <c r="KQ1005" s="1955"/>
      <c r="KR1005" s="1955"/>
      <c r="KS1005" s="1955"/>
      <c r="KT1005" s="1955"/>
      <c r="KU1005" s="1955"/>
      <c r="KV1005" s="1955"/>
      <c r="KW1005" s="1955"/>
      <c r="KX1005" s="1955"/>
      <c r="KY1005" s="1955"/>
      <c r="KZ1005" s="1955"/>
      <c r="LA1005" s="1955"/>
      <c r="LB1005" s="1955"/>
      <c r="LC1005" s="1955"/>
      <c r="LD1005" s="1955"/>
      <c r="LE1005" s="1955"/>
      <c r="LF1005" s="1955"/>
      <c r="LG1005" s="1311"/>
      <c r="LH1005" s="1311"/>
      <c r="LI1005" s="1311"/>
      <c r="LJ1005" s="1311"/>
      <c r="LK1005" s="1311"/>
      <c r="LL1005" s="1311"/>
      <c r="LM1005" s="1311"/>
      <c r="LN1005" s="1311"/>
      <c r="LO1005" s="1311"/>
      <c r="LP1005" s="1311"/>
      <c r="LQ1005" s="1311"/>
      <c r="LR1005" s="1311"/>
      <c r="LS1005" s="1311"/>
      <c r="LT1005" s="1311"/>
      <c r="LU1005" s="1311"/>
      <c r="LV1005" s="1311"/>
      <c r="LW1005" s="1311"/>
      <c r="LX1005" s="1311"/>
      <c r="LY1005" s="1311"/>
      <c r="LZ1005" s="1311"/>
      <c r="MA1005" s="1311"/>
      <c r="MB1005" s="1311"/>
      <c r="MC1005" s="1311"/>
      <c r="MD1005" s="1311"/>
      <c r="ME1005" s="1311"/>
      <c r="MF1005" s="1311"/>
      <c r="MG1005" s="1311"/>
      <c r="MH1005" s="1311"/>
      <c r="MI1005" s="1311"/>
      <c r="MJ1005" s="1311"/>
      <c r="MK1005" s="1311"/>
      <c r="ML1005" s="1311"/>
      <c r="MM1005" s="1311"/>
      <c r="MN1005" s="1311"/>
      <c r="MO1005" s="1311"/>
      <c r="MP1005" s="1311"/>
      <c r="MQ1005" s="1311"/>
      <c r="MR1005" s="1311"/>
      <c r="MS1005" s="1311"/>
    </row>
    <row r="1006" spans="1:357" s="1311" customFormat="1" ht="6" customHeight="1">
      <c r="C1006" s="2026"/>
      <c r="F1006" s="1993"/>
      <c r="G1006" s="1993"/>
      <c r="J1006" s="1993"/>
      <c r="P1006" s="2013"/>
      <c r="Q1006" s="2013"/>
      <c r="W1006" s="638"/>
      <c r="AB1006" s="638"/>
      <c r="AG1006" s="638"/>
      <c r="AL1006" s="638"/>
      <c r="JV1006" s="1955"/>
      <c r="KA1006" s="1955"/>
      <c r="KB1006" s="1955"/>
      <c r="KC1006" s="1955"/>
      <c r="KD1006" s="1955"/>
      <c r="KE1006" s="1955"/>
      <c r="KF1006" s="1955"/>
      <c r="KG1006" s="1955"/>
      <c r="KH1006" s="1955"/>
      <c r="KI1006" s="1955"/>
      <c r="KJ1006" s="1955"/>
      <c r="KK1006" s="1955"/>
      <c r="KL1006" s="1955"/>
      <c r="KM1006" s="1955"/>
      <c r="KN1006" s="1955"/>
      <c r="KO1006" s="1955"/>
      <c r="KP1006" s="1955"/>
      <c r="KQ1006" s="1955"/>
      <c r="KR1006" s="1955"/>
      <c r="KS1006" s="1955"/>
      <c r="KT1006" s="1955"/>
      <c r="KU1006" s="1955"/>
      <c r="KV1006" s="1955"/>
      <c r="KW1006" s="1955"/>
      <c r="KX1006" s="1955"/>
      <c r="KY1006" s="1955"/>
      <c r="KZ1006" s="1955"/>
      <c r="LA1006" s="1955"/>
      <c r="LB1006" s="1955"/>
      <c r="LC1006" s="1955"/>
      <c r="LD1006" s="1955"/>
      <c r="LE1006" s="1955"/>
      <c r="LF1006" s="1955"/>
    </row>
    <row r="1007" spans="1:357" s="1311" customFormat="1" ht="15" customHeight="1">
      <c r="B1007" s="1311" t="s">
        <v>4742</v>
      </c>
      <c r="C1007" s="2026"/>
      <c r="F1007" s="1993"/>
      <c r="G1007" s="1993"/>
      <c r="I1007" s="1955" t="str">
        <f>'Part VI-Revenues &amp; Expenses'!I245</f>
        <v>&lt;&lt;Select&gt;&gt;</v>
      </c>
      <c r="J1007" s="2039" t="s">
        <v>4744</v>
      </c>
      <c r="K1007" s="1955" t="str">
        <f>'Part VI-Revenues &amp; Expenses'!K245</f>
        <v>&lt;&lt;Select&gt;&gt;</v>
      </c>
      <c r="L1007" s="1955" t="s">
        <v>4745</v>
      </c>
      <c r="M1007" s="1965" t="str">
        <f>'Part VI-Revenues &amp; Expenses'!L245</f>
        <v>Yrs in period</v>
      </c>
      <c r="N1007" s="1311" t="s">
        <v>4743</v>
      </c>
      <c r="P1007" s="1965">
        <f>'Part VI-Revenues &amp; Expenses'!O245</f>
        <v>0</v>
      </c>
      <c r="Q1007" s="2013"/>
      <c r="R1007" s="1979">
        <f>'Part VI-Revenues &amp; Expenses'!R245</f>
        <v>0</v>
      </c>
      <c r="S1007" s="1979"/>
      <c r="T1007" s="1979"/>
      <c r="U1007" s="1979"/>
      <c r="V1007" s="1979"/>
      <c r="W1007" s="638"/>
      <c r="AB1007" s="638"/>
      <c r="AG1007" s="638"/>
      <c r="AL1007" s="638"/>
      <c r="JV1007" s="1955"/>
      <c r="KA1007" s="1955"/>
      <c r="KB1007" s="1955"/>
      <c r="KC1007" s="1955"/>
      <c r="KD1007" s="1955"/>
      <c r="KE1007" s="1955"/>
      <c r="KF1007" s="1955"/>
      <c r="KG1007" s="1955"/>
      <c r="KH1007" s="1955"/>
      <c r="KI1007" s="1955"/>
      <c r="KJ1007" s="1955"/>
      <c r="KK1007" s="1955"/>
      <c r="KL1007" s="1955"/>
      <c r="KM1007" s="1955"/>
      <c r="KN1007" s="1955"/>
      <c r="KO1007" s="1955"/>
      <c r="KP1007" s="1955"/>
      <c r="KQ1007" s="1955"/>
      <c r="KR1007" s="1955"/>
      <c r="KS1007" s="1955"/>
      <c r="KT1007" s="1955"/>
      <c r="KU1007" s="1955"/>
      <c r="KV1007" s="1955"/>
      <c r="KW1007" s="1955"/>
      <c r="KX1007" s="1955"/>
      <c r="KY1007" s="1955"/>
      <c r="KZ1007" s="1955"/>
      <c r="LA1007" s="1955"/>
      <c r="LB1007" s="1955"/>
      <c r="LC1007" s="1955"/>
      <c r="LD1007" s="1955"/>
      <c r="LE1007" s="1955"/>
      <c r="LF1007" s="1955"/>
    </row>
    <row r="1008" spans="1:357">
      <c r="A1008" s="1311"/>
      <c r="B1008" s="1311"/>
      <c r="C1008" s="2026"/>
      <c r="D1008" s="1311"/>
      <c r="E1008" s="1311"/>
      <c r="F1008" s="1993"/>
      <c r="G1008" s="1993"/>
      <c r="H1008" s="1311"/>
      <c r="I1008" s="1311"/>
      <c r="J1008" s="1993"/>
      <c r="K1008" s="1311"/>
      <c r="L1008" s="1311"/>
      <c r="M1008" s="1311"/>
      <c r="N1008" s="1311"/>
      <c r="O1008" s="1311"/>
      <c r="P1008" s="2013"/>
      <c r="Q1008" s="2013"/>
      <c r="R1008" s="1311"/>
      <c r="S1008" s="1311"/>
      <c r="T1008" s="1311"/>
      <c r="U1008" s="1311"/>
      <c r="V1008" s="1311"/>
      <c r="X1008" s="1311"/>
      <c r="Y1008" s="1311"/>
      <c r="Z1008" s="1311"/>
      <c r="AA1008" s="1311"/>
      <c r="AC1008" s="1311"/>
      <c r="AD1008" s="1311"/>
      <c r="AE1008" s="1311"/>
      <c r="AF1008" s="1311"/>
      <c r="AH1008" s="1311"/>
      <c r="AI1008" s="1311"/>
      <c r="AJ1008" s="1311"/>
      <c r="AK1008" s="1311"/>
      <c r="AM1008" s="1311"/>
      <c r="AN1008" s="1311"/>
      <c r="AO1008" s="1311"/>
      <c r="AP1008" s="1311"/>
      <c r="AQ1008" s="1311"/>
      <c r="AR1008" s="1311"/>
      <c r="AS1008" s="1311"/>
      <c r="AT1008" s="1311"/>
      <c r="AU1008" s="1311"/>
      <c r="AV1008" s="1311"/>
      <c r="AW1008" s="1311"/>
      <c r="AX1008" s="1311"/>
      <c r="AY1008" s="1311"/>
      <c r="AZ1008" s="1311"/>
      <c r="BA1008" s="1311"/>
      <c r="BB1008" s="1311"/>
      <c r="BC1008" s="1311"/>
      <c r="BD1008" s="1311"/>
      <c r="BE1008" s="1311"/>
      <c r="BF1008" s="1311"/>
      <c r="BG1008" s="1311"/>
      <c r="BH1008" s="1311"/>
      <c r="BI1008" s="1311"/>
      <c r="BJ1008" s="1311"/>
      <c r="BK1008" s="1311"/>
      <c r="BL1008" s="1311"/>
      <c r="BM1008" s="1311"/>
      <c r="BN1008" s="1311"/>
      <c r="BO1008" s="1311"/>
      <c r="BP1008" s="1311"/>
      <c r="BQ1008" s="1311"/>
      <c r="BR1008" s="1311"/>
      <c r="BS1008" s="1311"/>
      <c r="BT1008" s="1311"/>
      <c r="BU1008" s="1311"/>
      <c r="BV1008" s="1311"/>
      <c r="BW1008" s="1311"/>
      <c r="BX1008" s="1311"/>
      <c r="BY1008" s="1311"/>
      <c r="BZ1008" s="1311"/>
      <c r="CA1008" s="1311"/>
      <c r="CB1008" s="1311"/>
      <c r="CC1008" s="1311"/>
      <c r="CD1008" s="1311"/>
      <c r="CE1008" s="1311"/>
      <c r="CF1008" s="1311"/>
      <c r="CG1008" s="1311"/>
      <c r="CH1008" s="1311"/>
      <c r="CI1008" s="1311"/>
      <c r="CJ1008" s="1311"/>
      <c r="CK1008" s="1311"/>
      <c r="CL1008" s="1311"/>
      <c r="CM1008" s="1311"/>
      <c r="CN1008" s="1311"/>
      <c r="CO1008" s="1311"/>
      <c r="CP1008" s="1311"/>
      <c r="CQ1008" s="1311"/>
      <c r="CR1008" s="1311"/>
      <c r="CS1008" s="1311"/>
      <c r="CT1008" s="1311"/>
      <c r="CU1008" s="1311"/>
      <c r="CV1008" s="1311"/>
      <c r="CW1008" s="1311"/>
      <c r="CX1008" s="1311"/>
      <c r="CY1008" s="1311"/>
      <c r="CZ1008" s="1311"/>
      <c r="DA1008" s="1311"/>
      <c r="DB1008" s="1311"/>
      <c r="DC1008" s="1311"/>
      <c r="DD1008" s="1311"/>
      <c r="DE1008" s="1311"/>
      <c r="DF1008" s="1311"/>
      <c r="DG1008" s="1311"/>
      <c r="DH1008" s="1311"/>
      <c r="DI1008" s="1311"/>
      <c r="DJ1008" s="1311"/>
      <c r="DK1008" s="1311"/>
      <c r="DL1008" s="1311"/>
      <c r="DM1008" s="1311"/>
      <c r="DN1008" s="1311"/>
      <c r="DO1008" s="1311"/>
      <c r="DP1008" s="1311"/>
      <c r="DQ1008" s="1311"/>
      <c r="DR1008" s="1311"/>
      <c r="DS1008" s="1311"/>
      <c r="DT1008" s="1311"/>
      <c r="DU1008" s="1311"/>
      <c r="DV1008" s="1311"/>
      <c r="DW1008" s="1311"/>
      <c r="DX1008" s="1311"/>
      <c r="DY1008" s="1311"/>
      <c r="DZ1008" s="1311"/>
      <c r="EA1008" s="1311"/>
      <c r="EB1008" s="1311"/>
      <c r="EC1008" s="1311"/>
      <c r="ED1008" s="1311"/>
      <c r="EE1008" s="1311"/>
      <c r="EF1008" s="1311"/>
      <c r="EG1008" s="1311"/>
      <c r="EH1008" s="1311"/>
      <c r="EI1008" s="1311"/>
      <c r="EJ1008" s="1311"/>
      <c r="EK1008" s="1311"/>
      <c r="EL1008" s="1311"/>
      <c r="EM1008" s="1311"/>
      <c r="EN1008" s="1311"/>
      <c r="EO1008" s="1311"/>
      <c r="EP1008" s="1311"/>
      <c r="EQ1008" s="1311"/>
      <c r="ER1008" s="1311"/>
      <c r="ES1008" s="1311"/>
      <c r="ET1008" s="1311"/>
      <c r="EU1008" s="1311"/>
      <c r="EV1008" s="1311"/>
      <c r="EW1008" s="1311"/>
      <c r="EX1008" s="1311"/>
      <c r="EY1008" s="1311"/>
      <c r="EZ1008" s="1311"/>
      <c r="FA1008" s="1311"/>
      <c r="FB1008" s="1311"/>
      <c r="FC1008" s="1311"/>
      <c r="FD1008" s="1311"/>
      <c r="FE1008" s="1311"/>
      <c r="FF1008" s="1311"/>
      <c r="FG1008" s="1311"/>
      <c r="FH1008" s="1311"/>
      <c r="FI1008" s="1311"/>
      <c r="FJ1008" s="1311"/>
      <c r="FK1008" s="1311"/>
      <c r="FL1008" s="1311"/>
      <c r="FM1008" s="1311"/>
      <c r="FN1008" s="1311"/>
      <c r="FO1008" s="1311"/>
      <c r="FP1008" s="1311"/>
      <c r="FQ1008" s="1311"/>
      <c r="FR1008" s="1311"/>
      <c r="FS1008" s="1311"/>
      <c r="FT1008" s="1311"/>
      <c r="FU1008" s="1311"/>
      <c r="FV1008" s="1311"/>
      <c r="FW1008" s="1311"/>
      <c r="FX1008" s="1311"/>
      <c r="FY1008" s="1311"/>
      <c r="FZ1008" s="1311"/>
      <c r="GA1008" s="1311"/>
      <c r="GB1008" s="1311"/>
      <c r="GC1008" s="1311"/>
      <c r="GD1008" s="1311"/>
      <c r="GE1008" s="1311"/>
      <c r="GF1008" s="1311"/>
      <c r="GG1008" s="1311"/>
      <c r="GH1008" s="1311"/>
      <c r="GI1008" s="1311"/>
      <c r="GJ1008" s="1311"/>
      <c r="GK1008" s="1311"/>
      <c r="GL1008" s="1311"/>
      <c r="GM1008" s="1311"/>
      <c r="GN1008" s="1311"/>
      <c r="GO1008" s="1311"/>
      <c r="GP1008" s="1311"/>
      <c r="GQ1008" s="1311"/>
      <c r="GR1008" s="1311"/>
      <c r="GS1008" s="1311"/>
      <c r="GT1008" s="1311"/>
      <c r="GU1008" s="1311"/>
      <c r="GV1008" s="1311"/>
      <c r="GW1008" s="1311"/>
      <c r="GX1008" s="1311"/>
      <c r="GY1008" s="1311"/>
      <c r="GZ1008" s="1311"/>
      <c r="HA1008" s="1311"/>
      <c r="HB1008" s="1311"/>
      <c r="HC1008" s="1311"/>
      <c r="HD1008" s="1311"/>
      <c r="HE1008" s="1311"/>
      <c r="HF1008" s="1311"/>
      <c r="HG1008" s="1311"/>
      <c r="HH1008" s="1311"/>
      <c r="HI1008" s="1311"/>
      <c r="HJ1008" s="1311"/>
      <c r="HK1008" s="1311"/>
      <c r="HL1008" s="1311"/>
      <c r="HM1008" s="1311"/>
      <c r="HN1008" s="1311"/>
      <c r="HO1008" s="1311"/>
      <c r="HP1008" s="1311"/>
      <c r="HQ1008" s="1311"/>
      <c r="HR1008" s="1311"/>
      <c r="HS1008" s="1311"/>
      <c r="HT1008" s="1311"/>
      <c r="HU1008" s="1311"/>
      <c r="HV1008" s="1311"/>
      <c r="HW1008" s="1311"/>
      <c r="HX1008" s="1311"/>
      <c r="HY1008" s="1311"/>
      <c r="HZ1008" s="1311"/>
      <c r="IA1008" s="1311"/>
      <c r="IB1008" s="1311"/>
      <c r="IC1008" s="1311"/>
      <c r="ID1008" s="1311"/>
      <c r="IE1008" s="1311"/>
      <c r="IF1008" s="1311"/>
      <c r="IG1008" s="1311"/>
      <c r="IH1008" s="1311"/>
      <c r="II1008" s="1311"/>
      <c r="IJ1008" s="1311"/>
      <c r="IK1008" s="1311"/>
      <c r="IL1008" s="1311"/>
      <c r="IM1008" s="1311"/>
      <c r="IN1008" s="1311"/>
      <c r="IO1008" s="1311"/>
      <c r="IP1008" s="1311"/>
      <c r="IQ1008" s="1311"/>
      <c r="IR1008" s="1311"/>
      <c r="IS1008" s="1311"/>
      <c r="IT1008" s="1311"/>
      <c r="IU1008" s="1311"/>
      <c r="IV1008" s="1311"/>
      <c r="IW1008" s="1311"/>
      <c r="IX1008" s="1311"/>
      <c r="IY1008" s="1311"/>
      <c r="IZ1008" s="1311"/>
      <c r="JA1008" s="1311"/>
      <c r="JB1008" s="1311"/>
      <c r="JC1008" s="1311"/>
      <c r="JD1008" s="1311"/>
      <c r="JE1008" s="1311"/>
      <c r="JF1008" s="1311"/>
      <c r="JG1008" s="1311"/>
      <c r="JH1008" s="1311"/>
      <c r="JI1008" s="1311"/>
      <c r="JJ1008" s="1311"/>
      <c r="JK1008" s="1311"/>
      <c r="JL1008" s="1311"/>
      <c r="JM1008" s="1311"/>
      <c r="JN1008" s="1311"/>
      <c r="JO1008" s="1311"/>
      <c r="JP1008" s="1311"/>
      <c r="JQ1008" s="1311"/>
      <c r="JR1008" s="1311"/>
      <c r="JS1008" s="1311"/>
      <c r="JT1008" s="1311"/>
      <c r="JU1008" s="1311"/>
      <c r="JV1008" s="1955"/>
      <c r="JW1008" s="1311"/>
      <c r="JX1008" s="1311"/>
      <c r="JY1008" s="1311"/>
      <c r="JZ1008" s="1311"/>
      <c r="KA1008" s="1955"/>
      <c r="KB1008" s="1955"/>
      <c r="KC1008" s="1955"/>
      <c r="KD1008" s="1955"/>
      <c r="KE1008" s="1955"/>
      <c r="KF1008" s="1955"/>
      <c r="KG1008" s="1955"/>
      <c r="KH1008" s="1955"/>
      <c r="KI1008" s="1955"/>
      <c r="KJ1008" s="1955"/>
      <c r="KK1008" s="1955"/>
      <c r="KL1008" s="1955"/>
      <c r="KM1008" s="1955"/>
      <c r="KN1008" s="1955"/>
      <c r="KO1008" s="1955"/>
      <c r="KP1008" s="1955"/>
      <c r="KQ1008" s="1955"/>
      <c r="KR1008" s="1955"/>
      <c r="KS1008" s="1955"/>
      <c r="KT1008" s="1955"/>
      <c r="KU1008" s="1955"/>
      <c r="KV1008" s="1955"/>
      <c r="KW1008" s="1955"/>
      <c r="KX1008" s="1955"/>
      <c r="KY1008" s="1955"/>
      <c r="KZ1008" s="1955"/>
      <c r="LA1008" s="1955"/>
      <c r="LB1008" s="1955"/>
      <c r="LC1008" s="1955"/>
      <c r="LD1008" s="1955"/>
      <c r="LE1008" s="1955"/>
      <c r="LF1008" s="1955"/>
      <c r="LG1008" s="1311"/>
      <c r="LH1008" s="1311"/>
      <c r="LI1008" s="1311"/>
      <c r="LJ1008" s="1311"/>
      <c r="LK1008" s="1311"/>
      <c r="LL1008" s="1311"/>
      <c r="LM1008" s="1311"/>
      <c r="LN1008" s="1311"/>
      <c r="LO1008" s="1311"/>
      <c r="LP1008" s="1311"/>
      <c r="LQ1008" s="1311"/>
      <c r="LR1008" s="1311"/>
      <c r="LS1008" s="1311"/>
      <c r="LT1008" s="1311"/>
      <c r="LU1008" s="1311"/>
      <c r="LV1008" s="1311"/>
      <c r="LW1008" s="1311"/>
      <c r="LX1008" s="1311"/>
      <c r="LY1008" s="1311"/>
      <c r="LZ1008" s="1311"/>
      <c r="MA1008" s="1311"/>
      <c r="MB1008" s="1311"/>
      <c r="MC1008" s="1311"/>
      <c r="MD1008" s="1311"/>
      <c r="ME1008" s="1311"/>
      <c r="MF1008" s="1311"/>
      <c r="MG1008" s="1311"/>
      <c r="MH1008" s="1311"/>
      <c r="MI1008" s="1311"/>
      <c r="MJ1008" s="1311"/>
      <c r="MK1008" s="1311"/>
      <c r="ML1008" s="1311"/>
      <c r="MM1008" s="1311"/>
      <c r="MN1008" s="1311"/>
      <c r="MO1008" s="1311"/>
      <c r="MP1008" s="1311"/>
      <c r="MQ1008" s="1311"/>
      <c r="MR1008" s="1311"/>
      <c r="MS1008" s="1311"/>
    </row>
    <row r="1009" spans="1:318">
      <c r="A1009" s="638" t="s">
        <v>3922</v>
      </c>
      <c r="B1009" s="638" t="s">
        <v>562</v>
      </c>
      <c r="M1009" s="638" t="s">
        <v>4664</v>
      </c>
      <c r="JV1009" s="1953"/>
      <c r="KA1009" s="1953"/>
      <c r="KB1009" s="1953"/>
      <c r="KC1009" s="1953"/>
      <c r="KD1009" s="1953"/>
      <c r="KE1009" s="1953"/>
      <c r="KF1009" s="1953"/>
      <c r="KG1009" s="1953"/>
      <c r="KH1009" s="1953"/>
      <c r="KI1009" s="1953"/>
      <c r="KJ1009" s="1953"/>
      <c r="KK1009" s="1953"/>
      <c r="KL1009" s="1953"/>
      <c r="KM1009" s="1953"/>
      <c r="KN1009" s="1953"/>
      <c r="KO1009" s="1953"/>
      <c r="KP1009" s="1953"/>
      <c r="KQ1009" s="1953"/>
      <c r="KR1009" s="1953"/>
      <c r="KS1009" s="1953"/>
      <c r="KT1009" s="1953"/>
      <c r="KU1009" s="1953"/>
      <c r="KV1009" s="1953"/>
      <c r="KW1009" s="1953"/>
      <c r="KX1009" s="1953"/>
      <c r="KY1009" s="1953"/>
      <c r="KZ1009" s="1953"/>
      <c r="LA1009" s="1953"/>
      <c r="LB1009" s="1953"/>
      <c r="LC1009" s="1953"/>
      <c r="LD1009" s="1953"/>
      <c r="LE1009" s="1953"/>
      <c r="LF1009" s="1953"/>
    </row>
    <row r="1010" spans="1:318" ht="15.75" customHeight="1">
      <c r="A1010" s="1844" t="str">
        <f>'Part VI-Revenues &amp; Expenses'!A248</f>
        <v xml:space="preserve">Real Estate Tax assumptions are based on an 8.56% capitalization rate on year one NOI to estimate the fair market value upon completion.  Assessed value is 40% of FMV.  The millage rate for the City of Atlanta as of 2018 is 30.97 and Fulton County 10.43. 2019 millage rates have not been released at this time. Estimated property taxes are $73,967. Please see detailed breakdown in Tab 1. 
Insurance expense is based on a $38,721 estimate from M.F. Irvine, included in Tab 1.   
There is $20,000 to cover the Food Coop as an "optional" service for residents of The Haven at S. Atlanta
There is $10,000 included in the operating budget to offset the expenses associated with the implementation and management of the Education Outcomes and Healthy Eating Program.  $5,000 is budgeted for supplies, material, etc for the Education Outcomes expenes and $5,000 is budgeted for supplies, materials, equipment, etc for the Healthy Eating Program.  
</v>
      </c>
      <c r="B1010" s="1844"/>
      <c r="C1010" s="1844"/>
      <c r="D1010" s="1844"/>
      <c r="E1010" s="1844"/>
      <c r="F1010" s="1844"/>
      <c r="G1010" s="1844"/>
      <c r="H1010" s="1844"/>
      <c r="I1010" s="1844"/>
      <c r="J1010" s="1844"/>
      <c r="K1010" s="1844"/>
      <c r="L1010" s="1844"/>
      <c r="M1010" s="1844">
        <f>'Part VI-Revenues &amp; Expenses'!M248</f>
        <v>0</v>
      </c>
      <c r="N1010" s="1844"/>
      <c r="O1010" s="1844"/>
      <c r="P1010" s="1844"/>
      <c r="Q1010" s="1878" t="s">
        <v>3921</v>
      </c>
      <c r="R1010" s="1878"/>
      <c r="S1010" s="1878"/>
      <c r="T1010" s="1878"/>
      <c r="JV1010" s="1953"/>
      <c r="KA1010" s="1953"/>
      <c r="KB1010" s="1953"/>
      <c r="KC1010" s="1953"/>
      <c r="KD1010" s="1953"/>
      <c r="KE1010" s="1953"/>
      <c r="KF1010" s="1953"/>
      <c r="KG1010" s="1953"/>
      <c r="KH1010" s="1953"/>
      <c r="KI1010" s="1953"/>
      <c r="KJ1010" s="1953"/>
      <c r="KK1010" s="1953"/>
      <c r="KL1010" s="1953"/>
      <c r="KM1010" s="1953"/>
      <c r="KN1010" s="1953"/>
      <c r="KO1010" s="1953"/>
      <c r="KP1010" s="1953"/>
      <c r="KQ1010" s="1953"/>
      <c r="KR1010" s="1953"/>
      <c r="KS1010" s="1953"/>
      <c r="KT1010" s="1953"/>
      <c r="KU1010" s="1953"/>
      <c r="KV1010" s="1953"/>
      <c r="KW1010" s="1953"/>
      <c r="KX1010" s="1953"/>
      <c r="KY1010" s="1953"/>
      <c r="KZ1010" s="1953"/>
      <c r="LA1010" s="1953"/>
      <c r="LB1010" s="1953"/>
      <c r="LC1010" s="1953"/>
      <c r="LD1010" s="1953"/>
      <c r="LE1010" s="1953"/>
      <c r="LF1010" s="1953"/>
    </row>
    <row r="1016" spans="1:318">
      <c r="A1016" s="1311" t="str">
        <f>CONCATENATE("PART SEVEN - OPERATING PRO FORMA","  -  ",'Part I-Project Information'!$O$6," ",'Part I-Project Information'!$F$34,", ",'Part I-Project Information'!F1053,", ",'Part I-Project Information'!J1054," County")</f>
        <v>PART SEVEN - OPERATING PRO FORMA  -  2019-063 Haven at South Atlanta, ,  County</v>
      </c>
      <c r="B1016" s="1860"/>
      <c r="C1016" s="1860"/>
      <c r="D1016" s="1860"/>
      <c r="E1016" s="1860"/>
      <c r="F1016" s="1860"/>
      <c r="G1016" s="1860"/>
      <c r="H1016" s="1860"/>
      <c r="I1016" s="1860"/>
      <c r="J1016" s="1860"/>
      <c r="K1016" s="1860"/>
      <c r="L1016" s="1311"/>
      <c r="M1016" s="1311"/>
      <c r="N1016" s="1311" t="str">
        <f>A1016</f>
        <v>PART SEVEN - OPERATING PRO FORMA  -  2019-063 Haven at South Atlanta, ,  County</v>
      </c>
      <c r="O1016" s="1311"/>
    </row>
    <row r="1017" spans="1:318">
      <c r="A1017" s="1860"/>
      <c r="B1017" s="1860"/>
      <c r="C1017" s="1860"/>
      <c r="D1017" s="1860"/>
      <c r="E1017" s="1860"/>
      <c r="F1017" s="1860"/>
      <c r="G1017" s="1860"/>
      <c r="H1017" s="1860"/>
      <c r="I1017" s="1860"/>
      <c r="J1017" s="1860"/>
      <c r="K1017" s="1860"/>
      <c r="N1017" s="1860" t="s">
        <v>1820</v>
      </c>
      <c r="O1017" s="1860"/>
    </row>
    <row r="1018" spans="1:318" ht="13.5" customHeight="1">
      <c r="A1018" s="638" t="s">
        <v>88</v>
      </c>
      <c r="C1018" s="2040" t="str">
        <f>'Part I-Project Information'!$B$6</f>
        <v>May 2019</v>
      </c>
      <c r="D1018" s="638" t="s">
        <v>78</v>
      </c>
      <c r="E1018" s="1955"/>
      <c r="F1018" s="1782" t="s">
        <v>4778</v>
      </c>
      <c r="N1018" s="638" t="str">
        <f>A1018</f>
        <v>I.  OPERATING ASSUMPTIONS</v>
      </c>
      <c r="O1018" s="1860"/>
    </row>
    <row r="1019" spans="1:318">
      <c r="C1019" s="2040"/>
    </row>
    <row r="1020" spans="1:318" ht="12.75" customHeight="1">
      <c r="A1020" s="638" t="s">
        <v>2161</v>
      </c>
      <c r="B1020" s="2041">
        <v>0.02</v>
      </c>
      <c r="C1020" s="2040"/>
      <c r="D1020" s="1979" t="s">
        <v>5052</v>
      </c>
      <c r="E1020" s="1979"/>
      <c r="F1020" s="1979"/>
      <c r="G1020" s="2042">
        <f>'Part VII-Pro Forma'!G5</f>
        <v>10000</v>
      </c>
      <c r="H1020" s="1963" t="s">
        <v>1881</v>
      </c>
      <c r="K1020" s="2043" t="str">
        <f>IF(($B$14+$B$15+$B$16+$B$17)=0,"",B1045/($B$14+$B$15+$B$16+$B$17))</f>
        <v/>
      </c>
      <c r="N1020" s="1979">
        <f>'Part VII-Pro Forma'!N5</f>
        <v>0</v>
      </c>
      <c r="O1020" s="1979"/>
    </row>
    <row r="1021" spans="1:318">
      <c r="A1021" s="638" t="s">
        <v>2162</v>
      </c>
      <c r="B1021" s="2041">
        <v>0.03</v>
      </c>
      <c r="C1021" s="2040"/>
      <c r="D1021" s="1979"/>
      <c r="E1021" s="1979"/>
      <c r="F1021" s="1979"/>
      <c r="G1021" s="2044">
        <f>IF(OR('Part III-Sources of Funds'!E1020="Yes",'Part III-Sources of Funds'!H1020&gt;0),'DCA Underwriting Assumptions'!$Q$96,0)</f>
        <v>0</v>
      </c>
      <c r="N1021" s="1979">
        <f>'Part VII-Pro Forma'!N6</f>
        <v>0</v>
      </c>
      <c r="O1021" s="1979"/>
    </row>
    <row r="1022" spans="1:318">
      <c r="A1022" s="638" t="s">
        <v>2164</v>
      </c>
      <c r="B1022" s="2041">
        <v>0.03</v>
      </c>
      <c r="C1022" s="2040"/>
      <c r="D1022" s="1311" t="s">
        <v>267</v>
      </c>
      <c r="G1022" s="2045"/>
      <c r="H1022" s="1963" t="s">
        <v>2345</v>
      </c>
      <c r="K1022" s="2043" t="str">
        <f>IF(($B$14+$B$15+$B$16+$B$17)=0,"",-B1036/($B$14+$B$15+$B$16+$B$17))</f>
        <v/>
      </c>
      <c r="N1022" s="1979">
        <f>'Part VII-Pro Forma'!N7</f>
        <v>0</v>
      </c>
      <c r="O1022" s="1979"/>
    </row>
    <row r="1023" spans="1:318" ht="13.8">
      <c r="A1023" s="638" t="s">
        <v>2163</v>
      </c>
      <c r="B1023" s="2041">
        <f>'Part VII-Pro Forma'!B8</f>
        <v>7.0000000000000007E-2</v>
      </c>
      <c r="C1023" s="1779" t="str">
        <f>IF(B1023&lt;0.07, "Must be &gt;= 7%!","")</f>
        <v/>
      </c>
      <c r="D1023" s="1311" t="s">
        <v>2475</v>
      </c>
      <c r="G1023" s="2046" t="str">
        <f>'Part VII-Pro Forma'!G8</f>
        <v>No</v>
      </c>
      <c r="H1023" s="2047" t="s">
        <v>1428</v>
      </c>
      <c r="K1023" s="2048">
        <f>'Part VII-Pro Forma'!K8</f>
        <v>0</v>
      </c>
      <c r="N1023" s="1979">
        <f>'Part VII-Pro Forma'!N8</f>
        <v>0</v>
      </c>
      <c r="O1023" s="1979"/>
    </row>
    <row r="1024" spans="1:318">
      <c r="A1024" s="638" t="s">
        <v>1402</v>
      </c>
      <c r="B1024" s="2041">
        <v>0.02</v>
      </c>
      <c r="D1024" s="1311" t="s">
        <v>1697</v>
      </c>
      <c r="G1024" s="2046" t="str">
        <f>'Part VII-Pro Forma'!G9</f>
        <v>Yes</v>
      </c>
      <c r="H1024" s="2047" t="s">
        <v>2327</v>
      </c>
      <c r="K1024" s="2049">
        <f>'Part VII-Pro Forma'!K9</f>
        <v>0.05</v>
      </c>
      <c r="N1024" s="1979">
        <f>'Part VII-Pro Forma'!N9</f>
        <v>0</v>
      </c>
      <c r="O1024" s="1979"/>
    </row>
    <row r="1026" spans="1:15">
      <c r="A1026" s="638" t="s">
        <v>89</v>
      </c>
      <c r="D1026" s="1949"/>
      <c r="N1026" s="638" t="str">
        <f>A1026</f>
        <v>II.  OPERATING PRO FORMA</v>
      </c>
    </row>
    <row r="1028" spans="1:15">
      <c r="A1028" s="638" t="s">
        <v>2448</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860" t="s">
        <v>2590</v>
      </c>
      <c r="O1028" s="1860"/>
    </row>
    <row r="1029" spans="1:15">
      <c r="A1029" s="638" t="s">
        <v>2373</v>
      </c>
      <c r="B1029" s="2050">
        <f>'Part VII-Pro Forma'!B14</f>
        <v>768504</v>
      </c>
      <c r="C1029" s="2050">
        <f>'Part VII-Pro Forma'!C14</f>
        <v>783874.08</v>
      </c>
      <c r="D1029" s="2050">
        <f>'Part VII-Pro Forma'!D14</f>
        <v>799551.56160000002</v>
      </c>
      <c r="E1029" s="2050">
        <f>'Part VII-Pro Forma'!E14</f>
        <v>815542.59283199999</v>
      </c>
      <c r="F1029" s="2050">
        <f>'Part VII-Pro Forma'!F14</f>
        <v>831853.44468863995</v>
      </c>
      <c r="G1029" s="2050">
        <f>'Part VII-Pro Forma'!G14</f>
        <v>848490.51358241285</v>
      </c>
      <c r="H1029" s="2050">
        <f>'Part VII-Pro Forma'!H14</f>
        <v>865460.32385406108</v>
      </c>
      <c r="I1029" s="2050">
        <f>'Part VII-Pro Forma'!I14</f>
        <v>882769.53033114213</v>
      </c>
      <c r="J1029" s="2050">
        <f>'Part VII-Pro Forma'!J14</f>
        <v>900424.92093776504</v>
      </c>
      <c r="K1029" s="2050">
        <f>'Part VII-Pro Forma'!K14</f>
        <v>918433.4193565204</v>
      </c>
      <c r="N1029" s="1979">
        <f>'Part VII-Pro Forma'!N14</f>
        <v>0</v>
      </c>
      <c r="O1029" s="1979"/>
    </row>
    <row r="1030" spans="1:15">
      <c r="A1030" s="638" t="s">
        <v>1003</v>
      </c>
      <c r="B1030" s="2050">
        <f>'Part VII-Pro Forma'!B15</f>
        <v>15370.08</v>
      </c>
      <c r="C1030" s="2050">
        <f>'Part VII-Pro Forma'!C15</f>
        <v>15677.481600000001</v>
      </c>
      <c r="D1030" s="2050">
        <f>'Part VII-Pro Forma'!D15</f>
        <v>15991.031231999999</v>
      </c>
      <c r="E1030" s="2050">
        <f>'Part VII-Pro Forma'!E15</f>
        <v>16310.851856639998</v>
      </c>
      <c r="F1030" s="2050">
        <f>'Part VII-Pro Forma'!F15</f>
        <v>16637.068893772801</v>
      </c>
      <c r="G1030" s="2050">
        <f>'Part VII-Pro Forma'!G15</f>
        <v>16969.810271648257</v>
      </c>
      <c r="H1030" s="2050">
        <f>'Part VII-Pro Forma'!H15</f>
        <v>17309.206477081221</v>
      </c>
      <c r="I1030" s="2050">
        <f>'Part VII-Pro Forma'!I15</f>
        <v>17655.390606622841</v>
      </c>
      <c r="J1030" s="2050">
        <f>'Part VII-Pro Forma'!J15</f>
        <v>18008.498418755302</v>
      </c>
      <c r="K1030" s="2050">
        <f>'Part VII-Pro Forma'!K15</f>
        <v>18368.668387130409</v>
      </c>
      <c r="N1030" s="1979">
        <f>'Part VII-Pro Forma'!N15</f>
        <v>0</v>
      </c>
      <c r="O1030" s="1979"/>
    </row>
    <row r="1031" spans="1:15">
      <c r="A1031" s="638" t="s">
        <v>2374</v>
      </c>
      <c r="B1031" s="2050">
        <f>'Part VII-Pro Forma'!B16</f>
        <v>-54871.185600000004</v>
      </c>
      <c r="C1031" s="2050">
        <f>'Part VII-Pro Forma'!C16</f>
        <v>-55968.609312000008</v>
      </c>
      <c r="D1031" s="2050">
        <f>'Part VII-Pro Forma'!D16</f>
        <v>-57087.981498240006</v>
      </c>
      <c r="E1031" s="2050">
        <f>'Part VII-Pro Forma'!E16</f>
        <v>-58229.741128204805</v>
      </c>
      <c r="F1031" s="2050">
        <f>'Part VII-Pro Forma'!F16</f>
        <v>-59394.335950768895</v>
      </c>
      <c r="G1031" s="2050">
        <f>'Part VII-Pro Forma'!G16</f>
        <v>-60582.222669784278</v>
      </c>
      <c r="H1031" s="2050">
        <f>'Part VII-Pro Forma'!H16</f>
        <v>-61793.86712317996</v>
      </c>
      <c r="I1031" s="2050">
        <f>'Part VII-Pro Forma'!I16</f>
        <v>-63029.744465643547</v>
      </c>
      <c r="J1031" s="2050">
        <f>'Part VII-Pro Forma'!J16</f>
        <v>-64290.339354956428</v>
      </c>
      <c r="K1031" s="2050">
        <f>'Part VII-Pro Forma'!K16</f>
        <v>-65576.146142055557</v>
      </c>
      <c r="N1031" s="1979">
        <f>'Part VII-Pro Forma'!N16</f>
        <v>0</v>
      </c>
      <c r="O1031" s="1979"/>
    </row>
    <row r="1032" spans="1:15">
      <c r="A1032" s="638" t="s">
        <v>50</v>
      </c>
      <c r="B1032" s="2050">
        <f>'Part VII-Pro Forma'!B17</f>
        <v>0</v>
      </c>
      <c r="C1032" s="2050">
        <f>'Part VII-Pro Forma'!C17</f>
        <v>0</v>
      </c>
      <c r="D1032" s="2050">
        <f>'Part VII-Pro Forma'!D17</f>
        <v>0</v>
      </c>
      <c r="E1032" s="2050">
        <f>'Part VII-Pro Forma'!E17</f>
        <v>0</v>
      </c>
      <c r="F1032" s="2050">
        <f>'Part VII-Pro Forma'!F17</f>
        <v>0</v>
      </c>
      <c r="G1032" s="2050">
        <f>'Part VII-Pro Forma'!G17</f>
        <v>0</v>
      </c>
      <c r="H1032" s="2050">
        <f>'Part VII-Pro Forma'!H17</f>
        <v>0</v>
      </c>
      <c r="I1032" s="2050">
        <f>'Part VII-Pro Forma'!I17</f>
        <v>0</v>
      </c>
      <c r="J1032" s="2050">
        <f>'Part VII-Pro Forma'!J17</f>
        <v>0</v>
      </c>
      <c r="K1032" s="2050">
        <f>'Part VII-Pro Forma'!K17</f>
        <v>0</v>
      </c>
      <c r="N1032" s="1979">
        <f>'Part VII-Pro Forma'!N17</f>
        <v>0</v>
      </c>
      <c r="O1032" s="1979"/>
    </row>
    <row r="1033" spans="1:15">
      <c r="A1033" s="638" t="s">
        <v>51</v>
      </c>
      <c r="B1033" s="2050">
        <f>'Part VII-Pro Forma'!B18</f>
        <v>0</v>
      </c>
      <c r="C1033" s="2050">
        <f>'Part VII-Pro Forma'!C18</f>
        <v>0</v>
      </c>
      <c r="D1033" s="2050">
        <f>'Part VII-Pro Forma'!D18</f>
        <v>0</v>
      </c>
      <c r="E1033" s="2050">
        <f>'Part VII-Pro Forma'!E18</f>
        <v>0</v>
      </c>
      <c r="F1033" s="2050">
        <f>'Part VII-Pro Forma'!F18</f>
        <v>0</v>
      </c>
      <c r="G1033" s="2050">
        <f>'Part VII-Pro Forma'!G18</f>
        <v>0</v>
      </c>
      <c r="H1033" s="2050">
        <f>'Part VII-Pro Forma'!H18</f>
        <v>0</v>
      </c>
      <c r="I1033" s="2050">
        <f>'Part VII-Pro Forma'!I18</f>
        <v>0</v>
      </c>
      <c r="J1033" s="2050">
        <f>'Part VII-Pro Forma'!J18</f>
        <v>0</v>
      </c>
      <c r="K1033" s="2050">
        <f>'Part VII-Pro Forma'!K18</f>
        <v>0</v>
      </c>
      <c r="N1033" s="1979">
        <f>'Part VII-Pro Forma'!N18</f>
        <v>0</v>
      </c>
      <c r="O1033" s="1979"/>
    </row>
    <row r="1034" spans="1:15">
      <c r="A1034" s="638" t="s">
        <v>4607</v>
      </c>
      <c r="B1034" s="2050">
        <f>'Part VII-Pro Forma'!B19</f>
        <v>729002.89439999999</v>
      </c>
      <c r="C1034" s="2050">
        <f>'Part VII-Pro Forma'!C19</f>
        <v>743582.95228800003</v>
      </c>
      <c r="D1034" s="2050">
        <f>'Part VII-Pro Forma'!D19</f>
        <v>758454.61133375997</v>
      </c>
      <c r="E1034" s="2050">
        <f>'Part VII-Pro Forma'!E19</f>
        <v>773623.7035604351</v>
      </c>
      <c r="F1034" s="2050">
        <f>'Part VII-Pro Forma'!F19</f>
        <v>789096.17763164383</v>
      </c>
      <c r="G1034" s="2050">
        <f>'Part VII-Pro Forma'!G19</f>
        <v>804878.10118427675</v>
      </c>
      <c r="H1034" s="2050">
        <f>'Part VII-Pro Forma'!H19</f>
        <v>820975.66320796229</v>
      </c>
      <c r="I1034" s="2050">
        <f>'Part VII-Pro Forma'!I19</f>
        <v>837395.17647212138</v>
      </c>
      <c r="J1034" s="2050">
        <f>'Part VII-Pro Forma'!J19</f>
        <v>854143.08000156388</v>
      </c>
      <c r="K1034" s="2050">
        <f>'Part VII-Pro Forma'!K19</f>
        <v>871225.94160159526</v>
      </c>
      <c r="N1034" s="1979">
        <f>'Part VII-Pro Forma'!N19</f>
        <v>0</v>
      </c>
      <c r="O1034" s="1979"/>
    </row>
    <row r="1035" spans="1:15">
      <c r="A1035" s="638" t="s">
        <v>604</v>
      </c>
      <c r="B1035" s="2050">
        <f>'Part VII-Pro Forma'!B20</f>
        <v>-419724</v>
      </c>
      <c r="C1035" s="2050">
        <f>'Part VII-Pro Forma'!C20</f>
        <v>-432315.72000000003</v>
      </c>
      <c r="D1035" s="2050">
        <f>'Part VII-Pro Forma'!D20</f>
        <v>-445285.19159999996</v>
      </c>
      <c r="E1035" s="2050">
        <f>'Part VII-Pro Forma'!E20</f>
        <v>-458643.747348</v>
      </c>
      <c r="F1035" s="2050">
        <f>'Part VII-Pro Forma'!F20</f>
        <v>-472403.05976843997</v>
      </c>
      <c r="G1035" s="2050">
        <f>'Part VII-Pro Forma'!G20</f>
        <v>-486575.15156149311</v>
      </c>
      <c r="H1035" s="2050">
        <f>'Part VII-Pro Forma'!H20</f>
        <v>-501172.40610833798</v>
      </c>
      <c r="I1035" s="2050">
        <f>'Part VII-Pro Forma'!I20</f>
        <v>-516207.57829158811</v>
      </c>
      <c r="J1035" s="2050">
        <f>'Part VII-Pro Forma'!J20</f>
        <v>-531693.80564033566</v>
      </c>
      <c r="K1035" s="2050">
        <f>'Part VII-Pro Forma'!K20</f>
        <v>-547644.61980954581</v>
      </c>
      <c r="N1035" s="1979">
        <f>'Part VII-Pro Forma'!N20</f>
        <v>0</v>
      </c>
      <c r="O1035" s="1979"/>
    </row>
    <row r="1036" spans="1:15">
      <c r="A1036" s="638" t="s">
        <v>1102</v>
      </c>
      <c r="B1036" s="2050">
        <f>'Part VII-Pro Forma'!B21</f>
        <v>-36450</v>
      </c>
      <c r="C1036" s="2050">
        <f>'Part VII-Pro Forma'!C21</f>
        <v>-37179</v>
      </c>
      <c r="D1036" s="2050">
        <f>'Part VII-Pro Forma'!D21</f>
        <v>-37923</v>
      </c>
      <c r="E1036" s="2050">
        <f>'Part VII-Pro Forma'!E21</f>
        <v>-38681</v>
      </c>
      <c r="F1036" s="2050">
        <f>'Part VII-Pro Forma'!F21</f>
        <v>-39455</v>
      </c>
      <c r="G1036" s="2050">
        <f>'Part VII-Pro Forma'!G21</f>
        <v>-40244</v>
      </c>
      <c r="H1036" s="2050">
        <f>'Part VII-Pro Forma'!H21</f>
        <v>-41049</v>
      </c>
      <c r="I1036" s="2050">
        <f>'Part VII-Pro Forma'!I21</f>
        <v>-41870</v>
      </c>
      <c r="J1036" s="2050">
        <f>'Part VII-Pro Forma'!J21</f>
        <v>-42707</v>
      </c>
      <c r="K1036" s="2050">
        <f>'Part VII-Pro Forma'!K21</f>
        <v>-43561</v>
      </c>
      <c r="N1036" s="1979">
        <f>'Part VII-Pro Forma'!N21</f>
        <v>0</v>
      </c>
      <c r="O1036" s="1979"/>
    </row>
    <row r="1037" spans="1:15">
      <c r="A1037" s="638" t="s">
        <v>1187</v>
      </c>
      <c r="B1037" s="2050">
        <f>'Part VII-Pro Forma'!B22</f>
        <v>-21000</v>
      </c>
      <c r="C1037" s="2050">
        <f>'Part VII-Pro Forma'!C22</f>
        <v>-21630</v>
      </c>
      <c r="D1037" s="2050">
        <f>'Part VII-Pro Forma'!D22</f>
        <v>-22278.899999999998</v>
      </c>
      <c r="E1037" s="2050">
        <f>'Part VII-Pro Forma'!E22</f>
        <v>-22947.267</v>
      </c>
      <c r="F1037" s="2050">
        <f>'Part VII-Pro Forma'!F22</f>
        <v>-23635.685009999997</v>
      </c>
      <c r="G1037" s="2050">
        <f>'Part VII-Pro Forma'!G22</f>
        <v>-24344.755560299996</v>
      </c>
      <c r="H1037" s="2050">
        <f>'Part VII-Pro Forma'!H22</f>
        <v>-25075.098227109</v>
      </c>
      <c r="I1037" s="2050">
        <f>'Part VII-Pro Forma'!I22</f>
        <v>-25827.35117392227</v>
      </c>
      <c r="J1037" s="2050">
        <f>'Part VII-Pro Forma'!J22</f>
        <v>-26602.171709139933</v>
      </c>
      <c r="K1037" s="2050">
        <f>'Part VII-Pro Forma'!K22</f>
        <v>-27400.236860414134</v>
      </c>
      <c r="N1037" s="1979">
        <f>'Part VII-Pro Forma'!N22</f>
        <v>0</v>
      </c>
      <c r="O1037" s="1979"/>
    </row>
    <row r="1038" spans="1:15">
      <c r="A1038" s="638" t="s">
        <v>4606</v>
      </c>
      <c r="B1038" s="2050">
        <f>'Part VII-Pro Forma'!B23</f>
        <v>0</v>
      </c>
      <c r="C1038" s="2050">
        <f>'Part VII-Pro Forma'!C23</f>
        <v>0</v>
      </c>
      <c r="D1038" s="2050">
        <f>'Part VII-Pro Forma'!D23</f>
        <v>0</v>
      </c>
      <c r="E1038" s="2050">
        <f>'Part VII-Pro Forma'!E23</f>
        <v>0</v>
      </c>
      <c r="F1038" s="2050">
        <f>'Part VII-Pro Forma'!F23</f>
        <v>0</v>
      </c>
      <c r="G1038" s="2050">
        <f>'Part VII-Pro Forma'!G23</f>
        <v>0</v>
      </c>
      <c r="H1038" s="2050">
        <f>'Part VII-Pro Forma'!H23</f>
        <v>0</v>
      </c>
      <c r="I1038" s="2050">
        <f>'Part VII-Pro Forma'!I23</f>
        <v>0</v>
      </c>
      <c r="J1038" s="2050">
        <f>'Part VII-Pro Forma'!J23</f>
        <v>0</v>
      </c>
      <c r="K1038" s="2050">
        <f>'Part VII-Pro Forma'!K23</f>
        <v>0</v>
      </c>
      <c r="N1038" s="1979">
        <f>'Part VII-Pro Forma'!N23</f>
        <v>0</v>
      </c>
      <c r="O1038" s="1979"/>
    </row>
    <row r="1039" spans="1:15">
      <c r="A1039" s="638" t="s">
        <v>1188</v>
      </c>
      <c r="B1039" s="2050">
        <f>SUM(B1034:B1038)</f>
        <v>251828.89439999999</v>
      </c>
      <c r="C1039" s="2050">
        <f t="shared" ref="C1039:J1039" si="364">SUM(C1034:C1038)</f>
        <v>252458.232288</v>
      </c>
      <c r="D1039" s="2050">
        <f t="shared" si="364"/>
        <v>252967.51973376001</v>
      </c>
      <c r="E1039" s="2050">
        <f t="shared" si="364"/>
        <v>253351.6892124351</v>
      </c>
      <c r="F1039" s="2050">
        <f t="shared" si="364"/>
        <v>253602.43285320388</v>
      </c>
      <c r="G1039" s="2050">
        <f t="shared" si="364"/>
        <v>253714.19406248364</v>
      </c>
      <c r="H1039" s="2050">
        <f t="shared" si="364"/>
        <v>253679.15887251531</v>
      </c>
      <c r="I1039" s="2050">
        <f t="shared" si="364"/>
        <v>253490.247006611</v>
      </c>
      <c r="J1039" s="2050">
        <f t="shared" si="364"/>
        <v>253140.10265208827</v>
      </c>
      <c r="K1039" s="2050">
        <f>SUM(K1034:K1038)</f>
        <v>252620.08493163533</v>
      </c>
      <c r="N1039" s="1979">
        <f>'Part VII-Pro Forma'!N24</f>
        <v>0</v>
      </c>
      <c r="O1039" s="1979"/>
    </row>
    <row r="1040" spans="1:15">
      <c r="A1040" s="638" t="s">
        <v>1572</v>
      </c>
      <c r="B1040" s="2050">
        <f>'Part VII-Pro Forma'!B25</f>
        <v>-173996.44355885265</v>
      </c>
      <c r="C1040" s="2050">
        <f>'Part VII-Pro Forma'!C25</f>
        <v>-173996.44355885265</v>
      </c>
      <c r="D1040" s="2050">
        <f>'Part VII-Pro Forma'!D25</f>
        <v>-173996.44355885265</v>
      </c>
      <c r="E1040" s="2050">
        <f>'Part VII-Pro Forma'!E25</f>
        <v>-173996.44355885265</v>
      </c>
      <c r="F1040" s="2050">
        <f>'Part VII-Pro Forma'!F25</f>
        <v>-173996.44355885265</v>
      </c>
      <c r="G1040" s="2050">
        <f>'Part VII-Pro Forma'!G25</f>
        <v>-173996.44355885265</v>
      </c>
      <c r="H1040" s="2050">
        <f>'Part VII-Pro Forma'!H25</f>
        <v>-173996.44355885265</v>
      </c>
      <c r="I1040" s="2050">
        <f>'Part VII-Pro Forma'!I25</f>
        <v>-173996.44355885265</v>
      </c>
      <c r="J1040" s="2050">
        <f>'Part VII-Pro Forma'!J25</f>
        <v>-173996.44355885265</v>
      </c>
      <c r="K1040" s="2050">
        <f>'Part VII-Pro Forma'!K25</f>
        <v>-173996.44355885265</v>
      </c>
      <c r="N1040" s="1979">
        <f>'Part VII-Pro Forma'!N25</f>
        <v>0</v>
      </c>
      <c r="O1040" s="1979"/>
    </row>
    <row r="1041" spans="1:15">
      <c r="A1041" s="638" t="s">
        <v>1573</v>
      </c>
      <c r="B1041" s="2050">
        <f>'Part VII-Pro Forma'!B26</f>
        <v>-36547</v>
      </c>
      <c r="C1041" s="2050">
        <f>'Part VII-Pro Forma'!C26</f>
        <v>-36547</v>
      </c>
      <c r="D1041" s="2050">
        <f>'Part VII-Pro Forma'!D26</f>
        <v>-36547</v>
      </c>
      <c r="E1041" s="2050">
        <f>'Part VII-Pro Forma'!E26</f>
        <v>-36547</v>
      </c>
      <c r="F1041" s="2050">
        <f>'Part VII-Pro Forma'!F26</f>
        <v>-36547</v>
      </c>
      <c r="G1041" s="2050">
        <f>'Part VII-Pro Forma'!G26</f>
        <v>-36547</v>
      </c>
      <c r="H1041" s="2050">
        <f>'Part VII-Pro Forma'!H26</f>
        <v>-36547</v>
      </c>
      <c r="I1041" s="2050">
        <f>'Part VII-Pro Forma'!I26</f>
        <v>-36547</v>
      </c>
      <c r="J1041" s="2050">
        <f>'Part VII-Pro Forma'!J26</f>
        <v>-36547</v>
      </c>
      <c r="K1041" s="2050">
        <f>'Part VII-Pro Forma'!K26</f>
        <v>-36547</v>
      </c>
      <c r="N1041" s="1979">
        <f>'Part VII-Pro Forma'!N26</f>
        <v>0</v>
      </c>
      <c r="O1041" s="1979"/>
    </row>
    <row r="1042" spans="1:15">
      <c r="A1042" s="638" t="s">
        <v>1574</v>
      </c>
      <c r="B1042" s="2050">
        <f>'Part VII-Pro Forma'!B27</f>
        <v>0</v>
      </c>
      <c r="C1042" s="2050">
        <f>'Part VII-Pro Forma'!C27</f>
        <v>0</v>
      </c>
      <c r="D1042" s="2050">
        <f>'Part VII-Pro Forma'!D27</f>
        <v>0</v>
      </c>
      <c r="E1042" s="2050">
        <f>'Part VII-Pro Forma'!E27</f>
        <v>0</v>
      </c>
      <c r="F1042" s="2050">
        <f>'Part VII-Pro Forma'!F27</f>
        <v>0</v>
      </c>
      <c r="G1042" s="2050">
        <f>'Part VII-Pro Forma'!G27</f>
        <v>0</v>
      </c>
      <c r="H1042" s="2050">
        <f>'Part VII-Pro Forma'!H27</f>
        <v>0</v>
      </c>
      <c r="I1042" s="2050">
        <f>'Part VII-Pro Forma'!I27</f>
        <v>0</v>
      </c>
      <c r="J1042" s="2050">
        <f>'Part VII-Pro Forma'!J27</f>
        <v>0</v>
      </c>
      <c r="K1042" s="2050">
        <f>'Part VII-Pro Forma'!K27</f>
        <v>0</v>
      </c>
      <c r="N1042" s="1979">
        <f>'Part VII-Pro Forma'!N27</f>
        <v>0</v>
      </c>
      <c r="O1042" s="1979"/>
    </row>
    <row r="1043" spans="1:15">
      <c r="A1043" s="638" t="s">
        <v>3723</v>
      </c>
      <c r="B1043" s="2050">
        <f>'Part VII-Pro Forma'!B28</f>
        <v>0</v>
      </c>
      <c r="C1043" s="2050">
        <f>'Part VII-Pro Forma'!C28</f>
        <v>0</v>
      </c>
      <c r="D1043" s="2050">
        <f>'Part VII-Pro Forma'!D28</f>
        <v>0</v>
      </c>
      <c r="E1043" s="2050">
        <f>'Part VII-Pro Forma'!E28</f>
        <v>0</v>
      </c>
      <c r="F1043" s="2050">
        <f>'Part VII-Pro Forma'!F28</f>
        <v>0</v>
      </c>
      <c r="G1043" s="2050">
        <f>'Part VII-Pro Forma'!G28</f>
        <v>0</v>
      </c>
      <c r="H1043" s="2050">
        <f>'Part VII-Pro Forma'!H28</f>
        <v>0</v>
      </c>
      <c r="I1043" s="2050">
        <f>'Part VII-Pro Forma'!I28</f>
        <v>0</v>
      </c>
      <c r="J1043" s="2050">
        <f>'Part VII-Pro Forma'!J28</f>
        <v>0</v>
      </c>
      <c r="K1043" s="2050">
        <f>'Part VII-Pro Forma'!K28</f>
        <v>0</v>
      </c>
      <c r="N1043" s="1979">
        <f>'Part VII-Pro Forma'!N28</f>
        <v>0</v>
      </c>
      <c r="O1043" s="1979"/>
    </row>
    <row r="1044" spans="1:15">
      <c r="A1044" s="638" t="s">
        <v>752</v>
      </c>
      <c r="B1044" s="2050">
        <f>'Part VII-Pro Forma'!B29</f>
        <v>0</v>
      </c>
      <c r="C1044" s="2050">
        <f>'Part VII-Pro Forma'!C29</f>
        <v>0</v>
      </c>
      <c r="D1044" s="2050">
        <f>'Part VII-Pro Forma'!D29</f>
        <v>0</v>
      </c>
      <c r="E1044" s="2050">
        <f>'Part VII-Pro Forma'!E29</f>
        <v>0</v>
      </c>
      <c r="F1044" s="2050">
        <f>'Part VII-Pro Forma'!F29</f>
        <v>0</v>
      </c>
      <c r="G1044" s="2050">
        <f>'Part VII-Pro Forma'!G29</f>
        <v>0</v>
      </c>
      <c r="H1044" s="2050">
        <f>'Part VII-Pro Forma'!H29</f>
        <v>0</v>
      </c>
      <c r="I1044" s="2050">
        <f>'Part VII-Pro Forma'!I29</f>
        <v>0</v>
      </c>
      <c r="J1044" s="2050">
        <f>'Part VII-Pro Forma'!J29</f>
        <v>0</v>
      </c>
      <c r="K1044" s="2050">
        <f>'Part VII-Pro Forma'!K29</f>
        <v>0</v>
      </c>
      <c r="N1044" s="1979">
        <f>'Part VII-Pro Forma'!N29</f>
        <v>0</v>
      </c>
      <c r="O1044" s="1979"/>
    </row>
    <row r="1045" spans="1:15">
      <c r="A1045" s="638" t="s">
        <v>1150</v>
      </c>
      <c r="B1045" s="2050">
        <f>'Part VII-Pro Forma'!B30</f>
        <v>-10000</v>
      </c>
      <c r="C1045" s="2050">
        <f>'Part VII-Pro Forma'!C30</f>
        <v>-10000</v>
      </c>
      <c r="D1045" s="2050">
        <f>'Part VII-Pro Forma'!D30</f>
        <v>-10000</v>
      </c>
      <c r="E1045" s="2050">
        <f>'Part VII-Pro Forma'!E30</f>
        <v>-10000</v>
      </c>
      <c r="F1045" s="2050">
        <f>'Part VII-Pro Forma'!F30</f>
        <v>-10000</v>
      </c>
      <c r="G1045" s="2050">
        <f>'Part VII-Pro Forma'!G30</f>
        <v>-10000</v>
      </c>
      <c r="H1045" s="2050">
        <f>'Part VII-Pro Forma'!H30</f>
        <v>-10000</v>
      </c>
      <c r="I1045" s="2050">
        <f>'Part VII-Pro Forma'!I30</f>
        <v>-10000</v>
      </c>
      <c r="J1045" s="2050">
        <f>'Part VII-Pro Forma'!J30</f>
        <v>-10000</v>
      </c>
      <c r="K1045" s="2050">
        <f>'Part VII-Pro Forma'!K30</f>
        <v>-10000</v>
      </c>
      <c r="N1045" s="1979">
        <f>'Part VII-Pro Forma'!N30</f>
        <v>0</v>
      </c>
      <c r="O1045" s="1979"/>
    </row>
    <row r="1046" spans="1:15">
      <c r="A1046" s="638" t="s">
        <v>3901</v>
      </c>
      <c r="B1046" s="2050">
        <f>'Part VII-Pro Forma'!B31</f>
        <v>0</v>
      </c>
      <c r="C1046" s="2050">
        <f>'Part VII-Pro Forma'!C31</f>
        <v>0</v>
      </c>
      <c r="D1046" s="2050">
        <f>'Part VII-Pro Forma'!D31</f>
        <v>0</v>
      </c>
      <c r="E1046" s="2050">
        <f>'Part VII-Pro Forma'!E31</f>
        <v>0</v>
      </c>
      <c r="F1046" s="2050">
        <f>'Part VII-Pro Forma'!F31</f>
        <v>0</v>
      </c>
      <c r="G1046" s="2050">
        <f>'Part VII-Pro Forma'!G31</f>
        <v>0</v>
      </c>
      <c r="H1046" s="2050">
        <f>'Part VII-Pro Forma'!H31</f>
        <v>0</v>
      </c>
      <c r="I1046" s="2050">
        <f>'Part VII-Pro Forma'!I31</f>
        <v>0</v>
      </c>
      <c r="J1046" s="2050">
        <f>'Part VII-Pro Forma'!J31</f>
        <v>0</v>
      </c>
      <c r="K1046" s="2050">
        <f>'Part VII-Pro Forma'!K31</f>
        <v>0</v>
      </c>
      <c r="N1046" s="1979">
        <f>'Part VII-Pro Forma'!N31</f>
        <v>0</v>
      </c>
      <c r="O1046" s="1979"/>
    </row>
    <row r="1047" spans="1:15">
      <c r="A1047" s="638" t="s">
        <v>1151</v>
      </c>
      <c r="B1047" s="2050">
        <f>'Part VII-Pro Forma'!B32</f>
        <v>31285.450841147336</v>
      </c>
      <c r="C1047" s="2050">
        <f>'Part VII-Pro Forma'!C32</f>
        <v>31914.788729147345</v>
      </c>
      <c r="D1047" s="2050">
        <f>'Part VII-Pro Forma'!D32</f>
        <v>32424.076174907357</v>
      </c>
      <c r="E1047" s="2050">
        <f>'Part VII-Pro Forma'!E32</f>
        <v>32808.245653582446</v>
      </c>
      <c r="F1047" s="2050">
        <f>'Part VII-Pro Forma'!F32</f>
        <v>33058.989294351224</v>
      </c>
      <c r="G1047" s="2050">
        <f>'Part VII-Pro Forma'!G32</f>
        <v>33170.750503630989</v>
      </c>
      <c r="H1047" s="2050">
        <f>'Part VII-Pro Forma'!H32</f>
        <v>33135.715313662658</v>
      </c>
      <c r="I1047" s="2050">
        <f>'Part VII-Pro Forma'!I32</f>
        <v>32946.803447758342</v>
      </c>
      <c r="J1047" s="2050">
        <f>'Part VII-Pro Forma'!J32</f>
        <v>32596.659093235619</v>
      </c>
      <c r="K1047" s="2050">
        <f>'Part VII-Pro Forma'!K32</f>
        <v>32076.641372782673</v>
      </c>
      <c r="N1047" s="1979">
        <f>'Part VII-Pro Forma'!N32</f>
        <v>0</v>
      </c>
      <c r="O1047" s="1979"/>
    </row>
    <row r="1048" spans="1:15">
      <c r="A1048" s="638" t="str">
        <f>IF('Part III-Sources of Funds'!$E$38 = "Neither", "", "DCR Mortgage A")</f>
        <v>DCR Mortgage A</v>
      </c>
      <c r="B1048" s="2051">
        <f>'Part VII-Pro Forma'!B33</f>
        <v>1.4473220788264056</v>
      </c>
      <c r="C1048" s="2051">
        <f>'Part VII-Pro Forma'!C33</f>
        <v>1.4509390371683568</v>
      </c>
      <c r="D1048" s="2051">
        <f>'Part VII-Pro Forma'!D33</f>
        <v>1.4538660363376688</v>
      </c>
      <c r="E1048" s="2051">
        <f>'Part VII-Pro Forma'!E33</f>
        <v>1.4560739520330557</v>
      </c>
      <c r="F1048" s="2051">
        <f>'Part VII-Pro Forma'!F33</f>
        <v>1.4575150368945631</v>
      </c>
      <c r="G1048" s="2051">
        <f>'Part VII-Pro Forma'!G33</f>
        <v>1.4581573558235816</v>
      </c>
      <c r="H1048" s="2051">
        <f>'Part VII-Pro Forma'!H33</f>
        <v>1.4579560000415224</v>
      </c>
      <c r="I1048" s="2051">
        <f>'Part VII-Pro Forma'!I33</f>
        <v>1.4568702774713342</v>
      </c>
      <c r="J1048" s="2051">
        <f>'Part VII-Pro Forma'!J33</f>
        <v>1.4548579124634007</v>
      </c>
      <c r="K1048" s="2051">
        <f>'Part VII-Pro Forma'!K33</f>
        <v>1.4518692437882443</v>
      </c>
      <c r="N1048" s="1979">
        <f>'Part VII-Pro Forma'!N33</f>
        <v>0</v>
      </c>
      <c r="O1048" s="1979"/>
    </row>
    <row r="1049" spans="1:15">
      <c r="A1049" s="638" t="str">
        <f>IF('Part III-Sources of Funds'!$E$38 = "Neither", "", "DCR Mortgage B")</f>
        <v>DCR Mortgage B</v>
      </c>
      <c r="B1049" s="2051">
        <f>'Part VII-Pro Forma'!B34</f>
        <v>2.1296536197539426</v>
      </c>
      <c r="C1049" s="2051">
        <f>'Part VII-Pro Forma'!C34</f>
        <v>2.1468735800242795</v>
      </c>
      <c r="D1049" s="2051">
        <f>'Part VII-Pro Forma'!D34</f>
        <v>2.1608087168552101</v>
      </c>
      <c r="E1049" s="2051">
        <f>'Part VII-Pro Forma'!E34</f>
        <v>2.1713203724952104</v>
      </c>
      <c r="F1049" s="2051">
        <f>'Part VII-Pro Forma'!F34</f>
        <v>2.1781812267587277</v>
      </c>
      <c r="G1049" s="2051">
        <f>'Part VII-Pro Forma'!G34</f>
        <v>2.1812392399822418</v>
      </c>
      <c r="H1049" s="2051">
        <f>'Part VII-Pro Forma'!H34</f>
        <v>2.1802806061691156</v>
      </c>
      <c r="I1049" s="2051">
        <f>'Part VII-Pro Forma'!I34</f>
        <v>2.1751115945975958</v>
      </c>
      <c r="J1049" s="2051">
        <f>'Part VII-Pro Forma'!J34</f>
        <v>2.1655309353226153</v>
      </c>
      <c r="K1049" s="2051">
        <f>'Part VII-Pro Forma'!K34</f>
        <v>2.151302196426045</v>
      </c>
      <c r="N1049" s="1979">
        <f>'Part VII-Pro Forma'!N34</f>
        <v>0</v>
      </c>
      <c r="O1049" s="1979"/>
    </row>
    <row r="1050" spans="1:15">
      <c r="A1050" s="638" t="str">
        <f>IF('Part III-Sources of Funds'!$E$38 = "Neither", "DCR First Mortgage", "DCR Mortgage C")</f>
        <v>DCR Mortgage C</v>
      </c>
      <c r="B1050" s="2051" t="str">
        <f>'Part VII-Pro Forma'!B35</f>
        <v/>
      </c>
      <c r="C1050" s="2051" t="str">
        <f>'Part VII-Pro Forma'!C35</f>
        <v/>
      </c>
      <c r="D1050" s="2051" t="str">
        <f>'Part VII-Pro Forma'!D35</f>
        <v/>
      </c>
      <c r="E1050" s="2051" t="str">
        <f>'Part VII-Pro Forma'!E35</f>
        <v/>
      </c>
      <c r="F1050" s="2051" t="str">
        <f>'Part VII-Pro Forma'!F35</f>
        <v/>
      </c>
      <c r="G1050" s="2051" t="str">
        <f>'Part VII-Pro Forma'!G35</f>
        <v/>
      </c>
      <c r="H1050" s="2051" t="str">
        <f>'Part VII-Pro Forma'!H35</f>
        <v/>
      </c>
      <c r="I1050" s="2051" t="str">
        <f>'Part VII-Pro Forma'!I35</f>
        <v/>
      </c>
      <c r="J1050" s="2051" t="str">
        <f>'Part VII-Pro Forma'!J35</f>
        <v/>
      </c>
      <c r="K1050" s="2051" t="str">
        <f>'Part VII-Pro Forma'!K35</f>
        <v/>
      </c>
      <c r="N1050" s="1979">
        <f>'Part VII-Pro Forma'!N35</f>
        <v>0</v>
      </c>
      <c r="O1050" s="1979"/>
    </row>
    <row r="1051" spans="1:15">
      <c r="A1051" s="638" t="s">
        <v>771</v>
      </c>
      <c r="B1051" s="2051" t="str">
        <f>'Part VII-Pro Forma'!B36</f>
        <v/>
      </c>
      <c r="C1051" s="2051" t="str">
        <f>'Part VII-Pro Forma'!C36</f>
        <v/>
      </c>
      <c r="D1051" s="2051" t="str">
        <f>'Part VII-Pro Forma'!D36</f>
        <v/>
      </c>
      <c r="E1051" s="2051" t="str">
        <f>'Part VII-Pro Forma'!E36</f>
        <v/>
      </c>
      <c r="F1051" s="2051" t="str">
        <f>'Part VII-Pro Forma'!F36</f>
        <v/>
      </c>
      <c r="G1051" s="2051" t="str">
        <f>'Part VII-Pro Forma'!G36</f>
        <v/>
      </c>
      <c r="H1051" s="2051" t="str">
        <f>'Part VII-Pro Forma'!H36</f>
        <v/>
      </c>
      <c r="I1051" s="2051" t="str">
        <f>'Part VII-Pro Forma'!I36</f>
        <v/>
      </c>
      <c r="J1051" s="2051" t="str">
        <f>'Part VII-Pro Forma'!J36</f>
        <v/>
      </c>
      <c r="K1051" s="2051" t="str">
        <f>'Part VII-Pro Forma'!K36</f>
        <v/>
      </c>
      <c r="N1051" s="1979">
        <f>'Part VII-Pro Forma'!N36</f>
        <v>0</v>
      </c>
      <c r="O1051" s="1979"/>
    </row>
    <row r="1052" spans="1:15">
      <c r="A1052" s="638" t="s">
        <v>3611</v>
      </c>
      <c r="B1052" s="2051">
        <f>'Part VII-Pro Forma'!B37</f>
        <v>1.1960899382250625</v>
      </c>
      <c r="C1052" s="2051">
        <f>'Part VII-Pro Forma'!C37</f>
        <v>1.1990790500081805</v>
      </c>
      <c r="D1052" s="2051">
        <f>'Part VII-Pro Forma'!D37</f>
        <v>1.2014979685798131</v>
      </c>
      <c r="E1052" s="2051">
        <f>'Part VII-Pro Forma'!E37</f>
        <v>1.203322625155109</v>
      </c>
      <c r="F1052" s="2051">
        <f>'Part VII-Pro Forma'!F37</f>
        <v>1.2045135605579429</v>
      </c>
      <c r="G1052" s="2051">
        <f>'Part VII-Pro Forma'!G37</f>
        <v>1.2050443831159414</v>
      </c>
      <c r="H1052" s="2051">
        <f>'Part VII-Pro Forma'!H37</f>
        <v>1.2048779795016749</v>
      </c>
      <c r="I1052" s="2051">
        <f>'Part VII-Pro Forma'!I37</f>
        <v>1.2039807211367926</v>
      </c>
      <c r="J1052" s="2051">
        <f>'Part VII-Pro Forma'!J37</f>
        <v>1.2023176707534409</v>
      </c>
      <c r="K1052" s="2051">
        <f>'Part VII-Pro Forma'!K37</f>
        <v>1.1998477875233435</v>
      </c>
      <c r="N1052" s="1979">
        <f>'Part VII-Pro Forma'!N37</f>
        <v>0</v>
      </c>
      <c r="O1052" s="1979"/>
    </row>
    <row r="1053" spans="1:15">
      <c r="A1053" s="638" t="s">
        <v>759</v>
      </c>
      <c r="B1053" s="2052">
        <f>'Part VII-Pro Forma'!B38</f>
        <v>1.5277506620226584</v>
      </c>
      <c r="C1053" s="2052">
        <f>'Part VII-Pro Forma'!C38</f>
        <v>1.514040979830948</v>
      </c>
      <c r="D1053" s="2052">
        <f>'Part VII-Pro Forma'!D38</f>
        <v>1.5004430853675235</v>
      </c>
      <c r="E1053" s="2052">
        <f>'Part VII-Pro Forma'!E38</f>
        <v>1.4869600559429148</v>
      </c>
      <c r="F1053" s="2052">
        <f>'Part VII-Pro Forma'!F38</f>
        <v>1.4735861722495593</v>
      </c>
      <c r="G1053" s="2052">
        <f>'Part VII-Pro Forma'!G38</f>
        <v>1.4603243985757206</v>
      </c>
      <c r="H1053" s="2052">
        <f>'Part VII-Pro Forma'!H38</f>
        <v>1.4471720818545939</v>
      </c>
      <c r="I1053" s="2052">
        <f>'Part VII-Pro Forma'!I38</f>
        <v>1.4341293149188663</v>
      </c>
      <c r="J1053" s="2052">
        <f>'Part VII-Pro Forma'!J38</f>
        <v>1.4211960875276837</v>
      </c>
      <c r="K1053" s="2052">
        <f>'Part VII-Pro Forma'!K38</f>
        <v>1.4083700181752623</v>
      </c>
      <c r="N1053" s="1979">
        <f>'Part VII-Pro Forma'!N38</f>
        <v>0</v>
      </c>
      <c r="O1053" s="1979"/>
    </row>
    <row r="1054" spans="1:15">
      <c r="A1054" s="638" t="s">
        <v>2583</v>
      </c>
      <c r="B1054" s="2050">
        <f>'Part VII-Pro Forma'!B39</f>
        <v>2381457.6130062216</v>
      </c>
      <c r="C1054" s="2050">
        <f>'Part VII-Pro Forma'!C39</f>
        <v>2361673.4080149219</v>
      </c>
      <c r="D1054" s="2050">
        <f>'Part VII-Pro Forma'!D39</f>
        <v>2340564.2181749567</v>
      </c>
      <c r="E1054" s="2050">
        <f>'Part VII-Pro Forma'!E39</f>
        <v>2318041.3067971361</v>
      </c>
      <c r="F1054" s="2050">
        <f>'Part VII-Pro Forma'!F39</f>
        <v>2294009.9943318535</v>
      </c>
      <c r="G1054" s="2050">
        <f>'Part VII-Pro Forma'!G39</f>
        <v>2268369.2603647192</v>
      </c>
      <c r="H1054" s="2050">
        <f>'Part VII-Pro Forma'!H39</f>
        <v>2241011.3189571011</v>
      </c>
      <c r="I1054" s="2050">
        <f>'Part VII-Pro Forma'!I39</f>
        <v>2211821.1655464377</v>
      </c>
      <c r="J1054" s="2050">
        <f>'Part VII-Pro Forma'!J39</f>
        <v>2180676.0935016242</v>
      </c>
      <c r="K1054" s="2050">
        <f>'Part VII-Pro Forma'!K39</f>
        <v>2147445.1783012166</v>
      </c>
      <c r="N1054" s="1979">
        <f>'Part VII-Pro Forma'!N39</f>
        <v>0</v>
      </c>
      <c r="O1054" s="1979"/>
    </row>
    <row r="1055" spans="1:15">
      <c r="A1055" s="638" t="s">
        <v>2584</v>
      </c>
      <c r="B1055" s="2050">
        <f>'Part VII-Pro Forma'!B40</f>
        <v>1175340.1798102378</v>
      </c>
      <c r="C1055" s="2050">
        <f>'Part VII-Pro Forma'!C40</f>
        <v>1150432.6280313644</v>
      </c>
      <c r="D1055" s="2050">
        <f>'Part VII-Pro Forma'!D40</f>
        <v>1125274.8559615249</v>
      </c>
      <c r="E1055" s="2050">
        <f>'Part VII-Pro Forma'!E40</f>
        <v>1099864.3498974633</v>
      </c>
      <c r="F1055" s="2050">
        <f>'Part VII-Pro Forma'!F40</f>
        <v>1074198.5708833586</v>
      </c>
      <c r="G1055" s="2050">
        <f>'Part VII-Pro Forma'!G40</f>
        <v>1048274.9544571391</v>
      </c>
      <c r="H1055" s="2050">
        <f>'Part VII-Pro Forma'!H40</f>
        <v>1022090.9103942476</v>
      </c>
      <c r="I1055" s="2050">
        <f>'Part VII-Pro Forma'!I40</f>
        <v>995643.8224488321</v>
      </c>
      <c r="J1055" s="2050">
        <f>'Part VII-Pro Forma'!J40</f>
        <v>968931.04809233709</v>
      </c>
      <c r="K1055" s="2050">
        <f>'Part VII-Pro Forma'!K40</f>
        <v>941949.91824946867</v>
      </c>
      <c r="N1055" s="1979">
        <f>'Part VII-Pro Forma'!N40</f>
        <v>0</v>
      </c>
      <c r="O1055" s="1979"/>
    </row>
    <row r="1056" spans="1:15">
      <c r="A1056" s="638" t="s">
        <v>2585</v>
      </c>
      <c r="B1056" s="2050" t="str">
        <f>'Part VII-Pro Forma'!B41</f>
        <v/>
      </c>
      <c r="C1056" s="2050" t="str">
        <f>'Part VII-Pro Forma'!C41</f>
        <v/>
      </c>
      <c r="D1056" s="2050" t="str">
        <f>'Part VII-Pro Forma'!D41</f>
        <v/>
      </c>
      <c r="E1056" s="2050" t="str">
        <f>'Part VII-Pro Forma'!E41</f>
        <v/>
      </c>
      <c r="F1056" s="2050" t="str">
        <f>'Part VII-Pro Forma'!F41</f>
        <v/>
      </c>
      <c r="G1056" s="2050" t="str">
        <f>'Part VII-Pro Forma'!G41</f>
        <v/>
      </c>
      <c r="H1056" s="2050" t="str">
        <f>'Part VII-Pro Forma'!H41</f>
        <v/>
      </c>
      <c r="I1056" s="2050" t="str">
        <f>'Part VII-Pro Forma'!I41</f>
        <v/>
      </c>
      <c r="J1056" s="2050" t="str">
        <f>'Part VII-Pro Forma'!J41</f>
        <v/>
      </c>
      <c r="K1056" s="2050" t="str">
        <f>'Part VII-Pro Forma'!K41</f>
        <v/>
      </c>
      <c r="N1056" s="1979">
        <f>'Part VII-Pro Forma'!N41</f>
        <v>0</v>
      </c>
      <c r="O1056" s="1979"/>
    </row>
    <row r="1057" spans="1:15">
      <c r="A1057" s="638" t="s">
        <v>772</v>
      </c>
      <c r="B1057" s="2050" t="str">
        <f>'Part VII-Pro Forma'!B42</f>
        <v/>
      </c>
      <c r="C1057" s="2050" t="str">
        <f>'Part VII-Pro Forma'!C42</f>
        <v/>
      </c>
      <c r="D1057" s="2050" t="str">
        <f>'Part VII-Pro Forma'!D42</f>
        <v/>
      </c>
      <c r="E1057" s="2050" t="str">
        <f>'Part VII-Pro Forma'!E42</f>
        <v/>
      </c>
      <c r="F1057" s="2050" t="str">
        <f>'Part VII-Pro Forma'!F42</f>
        <v/>
      </c>
      <c r="G1057" s="2050" t="str">
        <f>'Part VII-Pro Forma'!G42</f>
        <v/>
      </c>
      <c r="H1057" s="2050" t="str">
        <f>'Part VII-Pro Forma'!H42</f>
        <v/>
      </c>
      <c r="I1057" s="2050" t="str">
        <f>'Part VII-Pro Forma'!I42</f>
        <v/>
      </c>
      <c r="J1057" s="2050" t="str">
        <f>'Part VII-Pro Forma'!J42</f>
        <v/>
      </c>
      <c r="K1057" s="2050" t="str">
        <f>'Part VII-Pro Forma'!K42</f>
        <v/>
      </c>
      <c r="N1057" s="1979">
        <f>'Part VII-Pro Forma'!N42</f>
        <v>0</v>
      </c>
      <c r="O1057" s="1979"/>
    </row>
    <row r="1058" spans="1:15">
      <c r="A1058" s="638" t="s">
        <v>3902</v>
      </c>
      <c r="B1058" s="2050" t="str">
        <f>'Part VII-Pro Forma'!B43</f>
        <v/>
      </c>
      <c r="C1058" s="2050" t="str">
        <f>'Part VII-Pro Forma'!C43</f>
        <v/>
      </c>
      <c r="D1058" s="2050" t="str">
        <f>'Part VII-Pro Forma'!D43</f>
        <v/>
      </c>
      <c r="E1058" s="2050" t="str">
        <f>'Part VII-Pro Forma'!E43</f>
        <v/>
      </c>
      <c r="F1058" s="2050" t="str">
        <f>'Part VII-Pro Forma'!F43</f>
        <v/>
      </c>
      <c r="G1058" s="2050" t="str">
        <f>'Part VII-Pro Forma'!G43</f>
        <v/>
      </c>
      <c r="H1058" s="2050" t="str">
        <f>'Part VII-Pro Forma'!H43</f>
        <v/>
      </c>
      <c r="I1058" s="2050" t="str">
        <f>'Part VII-Pro Forma'!I43</f>
        <v/>
      </c>
      <c r="J1058" s="2050" t="str">
        <f>'Part VII-Pro Forma'!J43</f>
        <v/>
      </c>
      <c r="K1058" s="2050" t="str">
        <f>'Part VII-Pro Forma'!K43</f>
        <v/>
      </c>
      <c r="N1058" s="1979">
        <f>'Part VII-Pro Forma'!N43</f>
        <v>0</v>
      </c>
      <c r="O1058" s="1979"/>
    </row>
    <row r="1059" spans="1:15">
      <c r="B1059" s="2050"/>
      <c r="C1059" s="2050"/>
      <c r="D1059" s="2050"/>
      <c r="E1059" s="2050"/>
      <c r="F1059" s="2050"/>
      <c r="G1059" s="2050"/>
      <c r="H1059" s="2050"/>
      <c r="I1059" s="2050"/>
      <c r="J1059" s="2050"/>
      <c r="K1059" s="2050"/>
    </row>
    <row r="1060" spans="1:15">
      <c r="A1060" s="638" t="s">
        <v>2448</v>
      </c>
      <c r="B1060" s="2050">
        <f>K1028+1</f>
        <v>11</v>
      </c>
      <c r="C1060" s="2050">
        <f t="shared" ref="C1060:K1060" si="365">B1060+1</f>
        <v>12</v>
      </c>
      <c r="D1060" s="2050">
        <f t="shared" si="365"/>
        <v>13</v>
      </c>
      <c r="E1060" s="2050">
        <f t="shared" si="365"/>
        <v>14</v>
      </c>
      <c r="F1060" s="2050">
        <f t="shared" si="365"/>
        <v>15</v>
      </c>
      <c r="G1060" s="2050">
        <f t="shared" si="365"/>
        <v>16</v>
      </c>
      <c r="H1060" s="2050">
        <f t="shared" si="365"/>
        <v>17</v>
      </c>
      <c r="I1060" s="2050">
        <f t="shared" si="365"/>
        <v>18</v>
      </c>
      <c r="J1060" s="2050">
        <f t="shared" si="365"/>
        <v>19</v>
      </c>
      <c r="K1060" s="2050">
        <f t="shared" si="365"/>
        <v>20</v>
      </c>
      <c r="N1060" s="1860" t="s">
        <v>2588</v>
      </c>
      <c r="O1060" s="1860"/>
    </row>
    <row r="1061" spans="1:15">
      <c r="A1061" s="638" t="s">
        <v>2373</v>
      </c>
      <c r="B1061" s="2050">
        <f>'Part VII-Pro Forma'!B46</f>
        <v>936802.08774365077</v>
      </c>
      <c r="C1061" s="2050">
        <f>'Part VII-Pro Forma'!C46</f>
        <v>955538.12949852366</v>
      </c>
      <c r="D1061" s="2050">
        <f>'Part VII-Pro Forma'!D46</f>
        <v>974648.89208849426</v>
      </c>
      <c r="E1061" s="2050">
        <f>'Part VII-Pro Forma'!E46</f>
        <v>994141.86993026407</v>
      </c>
      <c r="F1061" s="2050">
        <f>'Part VII-Pro Forma'!F46</f>
        <v>1014024.7073288695</v>
      </c>
      <c r="G1061" s="2050">
        <f>'Part VII-Pro Forma'!G46</f>
        <v>1034305.2014754466</v>
      </c>
      <c r="H1061" s="2050">
        <f>'Part VII-Pro Forma'!H46</f>
        <v>1054991.3055049558</v>
      </c>
      <c r="I1061" s="2050">
        <f>'Part VII-Pro Forma'!I46</f>
        <v>1076091.131615055</v>
      </c>
      <c r="J1061" s="2050">
        <f>'Part VII-Pro Forma'!J46</f>
        <v>1097612.9542473559</v>
      </c>
      <c r="K1061" s="2050">
        <f>'Part VII-Pro Forma'!K46</f>
        <v>1119565.2133323029</v>
      </c>
      <c r="N1061" s="1979">
        <f>'Part VII-Pro Forma'!N46</f>
        <v>0</v>
      </c>
      <c r="O1061" s="1979"/>
    </row>
    <row r="1062" spans="1:15">
      <c r="A1062" s="638" t="s">
        <v>1003</v>
      </c>
      <c r="B1062" s="2050">
        <f>'Part VII-Pro Forma'!B47</f>
        <v>18736.041754873015</v>
      </c>
      <c r="C1062" s="2050">
        <f>'Part VII-Pro Forma'!C47</f>
        <v>19110.762589970473</v>
      </c>
      <c r="D1062" s="2050">
        <f>'Part VII-Pro Forma'!D47</f>
        <v>19492.977841769887</v>
      </c>
      <c r="E1062" s="2050">
        <f>'Part VII-Pro Forma'!E47</f>
        <v>19882.837398605283</v>
      </c>
      <c r="F1062" s="2050">
        <f>'Part VII-Pro Forma'!F47</f>
        <v>20280.494146577388</v>
      </c>
      <c r="G1062" s="2050">
        <f>'Part VII-Pro Forma'!G47</f>
        <v>20686.104029508933</v>
      </c>
      <c r="H1062" s="2050">
        <f>'Part VII-Pro Forma'!H47</f>
        <v>21099.826110099115</v>
      </c>
      <c r="I1062" s="2050">
        <f>'Part VII-Pro Forma'!I47</f>
        <v>21521.822632301097</v>
      </c>
      <c r="J1062" s="2050">
        <f>'Part VII-Pro Forma'!J47</f>
        <v>21952.259084947116</v>
      </c>
      <c r="K1062" s="2050">
        <f>'Part VII-Pro Forma'!K47</f>
        <v>22391.304266646061</v>
      </c>
      <c r="N1062" s="1979">
        <f>'Part VII-Pro Forma'!N47</f>
        <v>0</v>
      </c>
      <c r="O1062" s="1979"/>
    </row>
    <row r="1063" spans="1:15">
      <c r="A1063" s="638" t="s">
        <v>2374</v>
      </c>
      <c r="B1063" s="2050">
        <f>'Part VII-Pro Forma'!B48</f>
        <v>-66887.669064896676</v>
      </c>
      <c r="C1063" s="2050">
        <f>'Part VII-Pro Forma'!C48</f>
        <v>-68225.4224461946</v>
      </c>
      <c r="D1063" s="2050">
        <f>'Part VII-Pro Forma'!D48</f>
        <v>-69589.930895118494</v>
      </c>
      <c r="E1063" s="2050">
        <f>'Part VII-Pro Forma'!E48</f>
        <v>-70981.729513020866</v>
      </c>
      <c r="F1063" s="2050">
        <f>'Part VII-Pro Forma'!F48</f>
        <v>-72401.364103281288</v>
      </c>
      <c r="G1063" s="2050">
        <f>'Part VII-Pro Forma'!G48</f>
        <v>-73849.391385346898</v>
      </c>
      <c r="H1063" s="2050">
        <f>'Part VII-Pro Forma'!H48</f>
        <v>-75326.379213053864</v>
      </c>
      <c r="I1063" s="2050">
        <f>'Part VII-Pro Forma'!I48</f>
        <v>-76832.906797314936</v>
      </c>
      <c r="J1063" s="2050">
        <f>'Part VII-Pro Forma'!J48</f>
        <v>-78369.564933261223</v>
      </c>
      <c r="K1063" s="2050">
        <f>'Part VII-Pro Forma'!K48</f>
        <v>-79936.956231926437</v>
      </c>
      <c r="N1063" s="1979">
        <f>'Part VII-Pro Forma'!N48</f>
        <v>0</v>
      </c>
      <c r="O1063" s="1979"/>
    </row>
    <row r="1064" spans="1:15">
      <c r="A1064" s="638" t="s">
        <v>50</v>
      </c>
      <c r="B1064" s="2050">
        <f>'Part VII-Pro Forma'!B49</f>
        <v>0</v>
      </c>
      <c r="C1064" s="2050">
        <f>'Part VII-Pro Forma'!C49</f>
        <v>0</v>
      </c>
      <c r="D1064" s="2050">
        <f>'Part VII-Pro Forma'!D49</f>
        <v>0</v>
      </c>
      <c r="E1064" s="2050">
        <f>'Part VII-Pro Forma'!E49</f>
        <v>0</v>
      </c>
      <c r="F1064" s="2050">
        <f>'Part VII-Pro Forma'!F49</f>
        <v>0</v>
      </c>
      <c r="G1064" s="2050">
        <f>'Part VII-Pro Forma'!G49</f>
        <v>0</v>
      </c>
      <c r="H1064" s="2050">
        <f>'Part VII-Pro Forma'!H49</f>
        <v>0</v>
      </c>
      <c r="I1064" s="2050">
        <f>'Part VII-Pro Forma'!I49</f>
        <v>0</v>
      </c>
      <c r="J1064" s="2050">
        <f>'Part VII-Pro Forma'!J49</f>
        <v>0</v>
      </c>
      <c r="K1064" s="2050">
        <f>'Part VII-Pro Forma'!K49</f>
        <v>0</v>
      </c>
      <c r="N1064" s="1979">
        <f>'Part VII-Pro Forma'!N49</f>
        <v>0</v>
      </c>
      <c r="O1064" s="1979"/>
    </row>
    <row r="1065" spans="1:15">
      <c r="A1065" s="638" t="s">
        <v>51</v>
      </c>
      <c r="B1065" s="2050">
        <f>'Part VII-Pro Forma'!B50</f>
        <v>0</v>
      </c>
      <c r="C1065" s="2050">
        <f>'Part VII-Pro Forma'!C50</f>
        <v>0</v>
      </c>
      <c r="D1065" s="2050">
        <f>'Part VII-Pro Forma'!D50</f>
        <v>0</v>
      </c>
      <c r="E1065" s="2050">
        <f>'Part VII-Pro Forma'!E50</f>
        <v>0</v>
      </c>
      <c r="F1065" s="2050">
        <f>'Part VII-Pro Forma'!F50</f>
        <v>0</v>
      </c>
      <c r="G1065" s="2050">
        <f>'Part VII-Pro Forma'!G50</f>
        <v>0</v>
      </c>
      <c r="H1065" s="2050">
        <f>'Part VII-Pro Forma'!H50</f>
        <v>0</v>
      </c>
      <c r="I1065" s="2050">
        <f>'Part VII-Pro Forma'!I50</f>
        <v>0</v>
      </c>
      <c r="J1065" s="2050">
        <f>'Part VII-Pro Forma'!J50</f>
        <v>0</v>
      </c>
      <c r="K1065" s="2050">
        <f>'Part VII-Pro Forma'!K50</f>
        <v>0</v>
      </c>
      <c r="N1065" s="1979">
        <f>'Part VII-Pro Forma'!N50</f>
        <v>0</v>
      </c>
      <c r="O1065" s="1979"/>
    </row>
    <row r="1066" spans="1:15">
      <c r="A1066" s="638" t="s">
        <v>4607</v>
      </c>
      <c r="B1066" s="2050">
        <f>'Part VII-Pro Forma'!B51</f>
        <v>888650.46043362713</v>
      </c>
      <c r="C1066" s="2050">
        <f>'Part VII-Pro Forma'!C51</f>
        <v>906423.46964229958</v>
      </c>
      <c r="D1066" s="2050">
        <f>'Part VII-Pro Forma'!D51</f>
        <v>924551.93903514568</v>
      </c>
      <c r="E1066" s="2050">
        <f>'Part VII-Pro Forma'!E51</f>
        <v>943042.97781584854</v>
      </c>
      <c r="F1066" s="2050">
        <f>'Part VII-Pro Forma'!F51</f>
        <v>961903.83737216564</v>
      </c>
      <c r="G1066" s="2050">
        <f>'Part VII-Pro Forma'!G51</f>
        <v>981141.9141196087</v>
      </c>
      <c r="H1066" s="2050">
        <f>'Part VII-Pro Forma'!H51</f>
        <v>1000764.7524020012</v>
      </c>
      <c r="I1066" s="2050">
        <f>'Part VII-Pro Forma'!I51</f>
        <v>1020780.0474500412</v>
      </c>
      <c r="J1066" s="2050">
        <f>'Part VII-Pro Forma'!J51</f>
        <v>1041195.6483990418</v>
      </c>
      <c r="K1066" s="2050">
        <f>'Part VII-Pro Forma'!K51</f>
        <v>1062019.5613670226</v>
      </c>
      <c r="N1066" s="1979">
        <f>'Part VII-Pro Forma'!N51</f>
        <v>0</v>
      </c>
      <c r="O1066" s="1979"/>
    </row>
    <row r="1067" spans="1:15">
      <c r="A1067" s="638" t="s">
        <v>604</v>
      </c>
      <c r="B1067" s="2050">
        <f>'Part VII-Pro Forma'!B52</f>
        <v>-564073.95840383216</v>
      </c>
      <c r="C1067" s="2050">
        <f>'Part VII-Pro Forma'!C52</f>
        <v>-580996.1771559472</v>
      </c>
      <c r="D1067" s="2050">
        <f>'Part VII-Pro Forma'!D52</f>
        <v>-598426.0624706255</v>
      </c>
      <c r="E1067" s="2050">
        <f>'Part VII-Pro Forma'!E52</f>
        <v>-616378.84434474423</v>
      </c>
      <c r="F1067" s="2050">
        <f>'Part VII-Pro Forma'!F52</f>
        <v>-634870.20967508666</v>
      </c>
      <c r="G1067" s="2050">
        <f>'Part VII-Pro Forma'!G52</f>
        <v>-653916.31596533931</v>
      </c>
      <c r="H1067" s="2050">
        <f>'Part VII-Pro Forma'!H52</f>
        <v>-673533.80544429936</v>
      </c>
      <c r="I1067" s="2050">
        <f>'Part VII-Pro Forma'!I52</f>
        <v>-693739.81960762828</v>
      </c>
      <c r="J1067" s="2050">
        <f>'Part VII-Pro Forma'!J52</f>
        <v>-714552.0141958571</v>
      </c>
      <c r="K1067" s="2050">
        <f>'Part VII-Pro Forma'!K52</f>
        <v>-735988.57462173281</v>
      </c>
      <c r="N1067" s="1979">
        <f>'Part VII-Pro Forma'!N52</f>
        <v>0</v>
      </c>
      <c r="O1067" s="1979"/>
    </row>
    <row r="1068" spans="1:15">
      <c r="A1068" s="638" t="s">
        <v>1102</v>
      </c>
      <c r="B1068" s="2050">
        <f>'Part VII-Pro Forma'!B53</f>
        <v>-44433</v>
      </c>
      <c r="C1068" s="2050">
        <f>'Part VII-Pro Forma'!C53</f>
        <v>-45321</v>
      </c>
      <c r="D1068" s="2050">
        <f>'Part VII-Pro Forma'!D53</f>
        <v>-46228</v>
      </c>
      <c r="E1068" s="2050">
        <f>'Part VII-Pro Forma'!E53</f>
        <v>-47152</v>
      </c>
      <c r="F1068" s="2050">
        <f>'Part VII-Pro Forma'!F53</f>
        <v>-48095</v>
      </c>
      <c r="G1068" s="2050">
        <f>'Part VII-Pro Forma'!G53</f>
        <v>-49057</v>
      </c>
      <c r="H1068" s="2050">
        <f>'Part VII-Pro Forma'!H53</f>
        <v>-50038</v>
      </c>
      <c r="I1068" s="2050">
        <f>'Part VII-Pro Forma'!I53</f>
        <v>-51039</v>
      </c>
      <c r="J1068" s="2050">
        <f>'Part VII-Pro Forma'!J53</f>
        <v>-52060</v>
      </c>
      <c r="K1068" s="2050">
        <f>'Part VII-Pro Forma'!K53</f>
        <v>-53101</v>
      </c>
      <c r="N1068" s="1979">
        <f>'Part VII-Pro Forma'!N53</f>
        <v>0</v>
      </c>
      <c r="O1068" s="1979"/>
    </row>
    <row r="1069" spans="1:15">
      <c r="A1069" s="638" t="s">
        <v>1187</v>
      </c>
      <c r="B1069" s="2050">
        <f>'Part VII-Pro Forma'!B54</f>
        <v>-28222.243966226557</v>
      </c>
      <c r="C1069" s="2050">
        <f>'Part VII-Pro Forma'!C54</f>
        <v>-29068.911285213355</v>
      </c>
      <c r="D1069" s="2050">
        <f>'Part VII-Pro Forma'!D54</f>
        <v>-29940.978623769752</v>
      </c>
      <c r="E1069" s="2050">
        <f>'Part VII-Pro Forma'!E54</f>
        <v>-30839.207982482843</v>
      </c>
      <c r="F1069" s="2050">
        <f>'Part VII-Pro Forma'!F54</f>
        <v>-31764.384221957331</v>
      </c>
      <c r="G1069" s="2050">
        <f>'Part VII-Pro Forma'!G54</f>
        <v>-32717.315748616053</v>
      </c>
      <c r="H1069" s="2050">
        <f>'Part VII-Pro Forma'!H54</f>
        <v>-33698.835221074529</v>
      </c>
      <c r="I1069" s="2050">
        <f>'Part VII-Pro Forma'!I54</f>
        <v>-34709.800277706767</v>
      </c>
      <c r="J1069" s="2050">
        <f>'Part VII-Pro Forma'!J54</f>
        <v>-35751.094286037966</v>
      </c>
      <c r="K1069" s="2050">
        <f>'Part VII-Pro Forma'!K54</f>
        <v>-36823.627114619107</v>
      </c>
      <c r="N1069" s="1979">
        <f>'Part VII-Pro Forma'!N54</f>
        <v>0</v>
      </c>
      <c r="O1069" s="1979"/>
    </row>
    <row r="1070" spans="1:15">
      <c r="A1070" s="638" t="s">
        <v>4606</v>
      </c>
      <c r="B1070" s="2050">
        <f>IF(B1060&lt;=+'Part VI-Revenues &amp; Expenses'!$K$243,-'Part VI-Revenues &amp; Expenses'!$H$243,0)</f>
        <v>0</v>
      </c>
      <c r="C1070" s="2050">
        <f>IF(C1060&lt;=+'Part VI-Revenues &amp; Expenses'!$K$243,-'Part VI-Revenues &amp; Expenses'!$H$243,0)</f>
        <v>0</v>
      </c>
      <c r="D1070" s="2050">
        <f>IF(D1060&lt;=+'Part VI-Revenues &amp; Expenses'!$K$243,-'Part VI-Revenues &amp; Expenses'!$H$243,0)</f>
        <v>0</v>
      </c>
      <c r="E1070" s="2050">
        <f>IF(E1060&lt;=+'Part VI-Revenues &amp; Expenses'!$K$243,-'Part VI-Revenues &amp; Expenses'!$H$243,0)</f>
        <v>0</v>
      </c>
      <c r="F1070" s="2050">
        <f>IF(F1060&lt;=+'Part VI-Revenues &amp; Expenses'!$K$243,-'Part VI-Revenues &amp; Expenses'!$H$243,0)</f>
        <v>0</v>
      </c>
      <c r="G1070" s="2050">
        <f>IF(G1060&lt;=+'Part VI-Revenues &amp; Expenses'!$K$243,-'Part VI-Revenues &amp; Expenses'!$H$243,0)</f>
        <v>0</v>
      </c>
      <c r="H1070" s="2050">
        <f>IF(H1060&lt;=+'Part VI-Revenues &amp; Expenses'!$K$243,-'Part VI-Revenues &amp; Expenses'!$H$243,0)</f>
        <v>0</v>
      </c>
      <c r="I1070" s="2050">
        <f>IF(I1060&lt;=+'Part VI-Revenues &amp; Expenses'!$K$243,-'Part VI-Revenues &amp; Expenses'!$H$243,0)</f>
        <v>0</v>
      </c>
      <c r="J1070" s="2050">
        <f>IF(J1060&lt;=+'Part VI-Revenues &amp; Expenses'!$K$243,-'Part VI-Revenues &amp; Expenses'!$H$243,0)</f>
        <v>0</v>
      </c>
      <c r="K1070" s="2050">
        <f>IF(K1060&lt;=+'Part VI-Revenues &amp; Expenses'!$K$243,-'Part VI-Revenues &amp; Expenses'!$H$243,0)</f>
        <v>0</v>
      </c>
      <c r="N1070" s="1979">
        <f>'Part VII-Pro Forma'!N55</f>
        <v>0</v>
      </c>
      <c r="O1070" s="1979"/>
    </row>
    <row r="1071" spans="1:15">
      <c r="A1071" s="638" t="s">
        <v>1188</v>
      </c>
      <c r="B1071" s="2050">
        <f>SUM(B1066:B1070)</f>
        <v>251921.25806356841</v>
      </c>
      <c r="C1071" s="2050">
        <f t="shared" ref="C1071:J1071" si="366">SUM(C1066:C1070)</f>
        <v>251037.38120113901</v>
      </c>
      <c r="D1071" s="2050">
        <f t="shared" si="366"/>
        <v>249956.89794075044</v>
      </c>
      <c r="E1071" s="2050">
        <f t="shared" si="366"/>
        <v>248672.92548862146</v>
      </c>
      <c r="F1071" s="2050">
        <f t="shared" si="366"/>
        <v>247174.24347512165</v>
      </c>
      <c r="G1071" s="2050">
        <f t="shared" si="366"/>
        <v>245451.28240565333</v>
      </c>
      <c r="H1071" s="2050">
        <f t="shared" si="366"/>
        <v>243494.1117366273</v>
      </c>
      <c r="I1071" s="2050">
        <f t="shared" si="366"/>
        <v>241291.42756470613</v>
      </c>
      <c r="J1071" s="2050">
        <f t="shared" si="366"/>
        <v>238832.53991714679</v>
      </c>
      <c r="K1071" s="2050">
        <f>SUM(K1066:K1070)</f>
        <v>236106.35963067066</v>
      </c>
      <c r="N1071" s="1979">
        <f>'Part VII-Pro Forma'!N56</f>
        <v>0</v>
      </c>
      <c r="O1071" s="1979"/>
    </row>
    <row r="1072" spans="1:15">
      <c r="A1072" s="638" t="str">
        <f>$A1040</f>
        <v>Mortgage A</v>
      </c>
      <c r="B1072" s="2050">
        <f>IF('Part III-Sources of Funds'!$P$38="", 0,-'Part III-Sources of Funds'!$P$38)</f>
        <v>-173996.44355885265</v>
      </c>
      <c r="C1072" s="2050">
        <f>IF('Part III-Sources of Funds'!$P$38="", 0,-'Part III-Sources of Funds'!$P$38)</f>
        <v>-173996.44355885265</v>
      </c>
      <c r="D1072" s="2050">
        <f>IF('Part III-Sources of Funds'!$P$38="", 0,-'Part III-Sources of Funds'!$P$38)</f>
        <v>-173996.44355885265</v>
      </c>
      <c r="E1072" s="2050">
        <f>IF('Part III-Sources of Funds'!$P$38="", 0,-'Part III-Sources of Funds'!$P$38)</f>
        <v>-173996.44355885265</v>
      </c>
      <c r="F1072" s="2050">
        <f>IF('Part III-Sources of Funds'!$P$38="", 0,-'Part III-Sources of Funds'!$P$38)</f>
        <v>-173996.44355885265</v>
      </c>
      <c r="G1072" s="2050">
        <f>IF('Part III-Sources of Funds'!$P$38="", 0,-'Part III-Sources of Funds'!$P$38)</f>
        <v>-173996.44355885265</v>
      </c>
      <c r="H1072" s="2050">
        <f>IF('Part III-Sources of Funds'!$P$38="", 0,-'Part III-Sources of Funds'!$P$38)</f>
        <v>-173996.44355885265</v>
      </c>
      <c r="I1072" s="2050">
        <f>IF('Part III-Sources of Funds'!$P$38="", 0,-'Part III-Sources of Funds'!$P$38)</f>
        <v>-173996.44355885265</v>
      </c>
      <c r="J1072" s="2050">
        <f>IF('Part III-Sources of Funds'!$P$38="", 0,-'Part III-Sources of Funds'!$P$38)</f>
        <v>-173996.44355885265</v>
      </c>
      <c r="K1072" s="2050">
        <f>IF('Part III-Sources of Funds'!$P$38="", 0,-'Part III-Sources of Funds'!$P$38)</f>
        <v>-173996.44355885265</v>
      </c>
      <c r="N1072" s="1979">
        <f>'Part VII-Pro Forma'!N57</f>
        <v>0</v>
      </c>
      <c r="O1072" s="1979"/>
    </row>
    <row r="1073" spans="1:15">
      <c r="A1073" s="638" t="str">
        <f>$A1041</f>
        <v>Mortgage B</v>
      </c>
      <c r="B1073" s="2050">
        <f>IF('Part III-Sources of Funds'!$P$39="", 0,-'Part III-Sources of Funds'!$P$39)</f>
        <v>0</v>
      </c>
      <c r="C1073" s="2050">
        <f>IF('Part III-Sources of Funds'!$P$39="", 0,-'Part III-Sources of Funds'!$P$39)</f>
        <v>0</v>
      </c>
      <c r="D1073" s="2050">
        <f>IF('Part III-Sources of Funds'!$P$39="", 0,-'Part III-Sources of Funds'!$P$39)</f>
        <v>0</v>
      </c>
      <c r="E1073" s="2050">
        <f>IF('Part III-Sources of Funds'!$P$39="", 0,-'Part III-Sources of Funds'!$P$39)</f>
        <v>0</v>
      </c>
      <c r="F1073" s="2050">
        <f>IF('Part III-Sources of Funds'!$P$39="", 0,-'Part III-Sources of Funds'!$P$39)</f>
        <v>0</v>
      </c>
      <c r="G1073" s="2050">
        <f>IF('Part III-Sources of Funds'!$P$39="", 0,-'Part III-Sources of Funds'!$P$39)</f>
        <v>0</v>
      </c>
      <c r="H1073" s="2050">
        <f>IF('Part III-Sources of Funds'!$P$39="", 0,-'Part III-Sources of Funds'!$P$39)</f>
        <v>0</v>
      </c>
      <c r="I1073" s="2050">
        <f>IF('Part III-Sources of Funds'!$P$39="", 0,-'Part III-Sources of Funds'!$P$39)</f>
        <v>0</v>
      </c>
      <c r="J1073" s="2050">
        <f>IF('Part III-Sources of Funds'!$P$39="", 0,-'Part III-Sources of Funds'!$P$39)</f>
        <v>0</v>
      </c>
      <c r="K1073" s="2050">
        <f>IF('Part III-Sources of Funds'!$P$39="", 0,-'Part III-Sources of Funds'!$P$39)</f>
        <v>0</v>
      </c>
      <c r="N1073" s="1979">
        <f>'Part VII-Pro Forma'!N58</f>
        <v>0</v>
      </c>
      <c r="O1073" s="1979"/>
    </row>
    <row r="1074" spans="1:15">
      <c r="A1074" s="638" t="str">
        <f>$A1042</f>
        <v>Mortgage C</v>
      </c>
      <c r="B1074" s="2050">
        <f>IF('Part III-Sources of Funds'!$P$40="", 0,-'Part III-Sources of Funds'!$P$40)</f>
        <v>0</v>
      </c>
      <c r="C1074" s="2050">
        <f>IF('Part III-Sources of Funds'!$P$40="", 0,-'Part III-Sources of Funds'!$P$40)</f>
        <v>0</v>
      </c>
      <c r="D1074" s="2050">
        <f>IF('Part III-Sources of Funds'!$P$40="", 0,-'Part III-Sources of Funds'!$P$40)</f>
        <v>0</v>
      </c>
      <c r="E1074" s="2050">
        <f>IF('Part III-Sources of Funds'!$P$40="", 0,-'Part III-Sources of Funds'!$P$40)</f>
        <v>0</v>
      </c>
      <c r="F1074" s="2050">
        <f>IF('Part III-Sources of Funds'!$P$40="", 0,-'Part III-Sources of Funds'!$P$40)</f>
        <v>0</v>
      </c>
      <c r="G1074" s="2050">
        <f>IF('Part III-Sources of Funds'!$P$40="", 0,-'Part III-Sources of Funds'!$P$40)</f>
        <v>0</v>
      </c>
      <c r="H1074" s="2050">
        <f>IF('Part III-Sources of Funds'!$P$40="", 0,-'Part III-Sources of Funds'!$P$40)</f>
        <v>0</v>
      </c>
      <c r="I1074" s="2050">
        <f>IF('Part III-Sources of Funds'!$P$40="", 0,-'Part III-Sources of Funds'!$P$40)</f>
        <v>0</v>
      </c>
      <c r="J1074" s="2050">
        <f>IF('Part III-Sources of Funds'!$P$40="", 0,-'Part III-Sources of Funds'!$P$40)</f>
        <v>0</v>
      </c>
      <c r="K1074" s="2050">
        <f>IF('Part III-Sources of Funds'!$P$40="", 0,-'Part III-Sources of Funds'!$P$40)</f>
        <v>0</v>
      </c>
      <c r="N1074" s="1979">
        <f>'Part VII-Pro Forma'!N59</f>
        <v>0</v>
      </c>
      <c r="O1074" s="1979"/>
    </row>
    <row r="1075" spans="1:15">
      <c r="A1075" s="638" t="str">
        <f>$A1043</f>
        <v>D/S Other Source,not DDF</v>
      </c>
      <c r="B1075" s="2050">
        <f>IF('Part III-Sources of Funds'!$P$41="", 0,-'Part III-Sources of Funds'!$P$41)</f>
        <v>0</v>
      </c>
      <c r="C1075" s="2050">
        <f>IF('Part III-Sources of Funds'!$P$41="", 0,-'Part III-Sources of Funds'!$P$41)</f>
        <v>0</v>
      </c>
      <c r="D1075" s="2050">
        <f>IF('Part III-Sources of Funds'!$P$41="", 0,-'Part III-Sources of Funds'!$P$41)</f>
        <v>0</v>
      </c>
      <c r="E1075" s="2050">
        <f>IF('Part III-Sources of Funds'!$P$41="", 0,-'Part III-Sources of Funds'!$P$41)</f>
        <v>0</v>
      </c>
      <c r="F1075" s="2050">
        <f>IF('Part III-Sources of Funds'!$P$41="", 0,-'Part III-Sources of Funds'!$P$41)</f>
        <v>0</v>
      </c>
      <c r="G1075" s="2050">
        <f>IF('Part III-Sources of Funds'!$P$41="", 0,-'Part III-Sources of Funds'!$P$41)</f>
        <v>0</v>
      </c>
      <c r="H1075" s="2050">
        <f>IF('Part III-Sources of Funds'!$P$41="", 0,-'Part III-Sources of Funds'!$P$41)</f>
        <v>0</v>
      </c>
      <c r="I1075" s="2050">
        <f>IF('Part III-Sources of Funds'!$P$41="", 0,-'Part III-Sources of Funds'!$P$41)</f>
        <v>0</v>
      </c>
      <c r="J1075" s="2050">
        <f>IF('Part III-Sources of Funds'!$P$41="", 0,-'Part III-Sources of Funds'!$P$41)</f>
        <v>0</v>
      </c>
      <c r="K1075" s="2050">
        <f>IF('Part III-Sources of Funds'!$P$41="", 0,-'Part III-Sources of Funds'!$P$41)</f>
        <v>0</v>
      </c>
      <c r="N1075" s="1979">
        <f>'Part VII-Pro Forma'!N60</f>
        <v>0</v>
      </c>
      <c r="O1075" s="1979"/>
    </row>
    <row r="1076" spans="1:15">
      <c r="A1076" s="638" t="s">
        <v>752</v>
      </c>
      <c r="B1076" s="2050"/>
      <c r="C1076" s="2050"/>
      <c r="D1076" s="2050"/>
      <c r="E1076" s="2050"/>
      <c r="F1076" s="2050"/>
      <c r="G1076" s="2050"/>
      <c r="H1076" s="2050"/>
      <c r="I1076" s="2050"/>
      <c r="J1076" s="2050"/>
      <c r="K1076" s="2050"/>
      <c r="N1076" s="1979">
        <f>'Part VII-Pro Forma'!N61</f>
        <v>0</v>
      </c>
      <c r="O1076" s="1979"/>
    </row>
    <row r="1077" spans="1:15">
      <c r="A1077" s="638" t="s">
        <v>1150</v>
      </c>
      <c r="B1077" s="2050">
        <f>+K1045</f>
        <v>-10000</v>
      </c>
      <c r="C1077" s="2050">
        <f t="shared" ref="C1077:K1077" si="367">+B1077</f>
        <v>-10000</v>
      </c>
      <c r="D1077" s="2050">
        <f t="shared" si="367"/>
        <v>-10000</v>
      </c>
      <c r="E1077" s="2050">
        <f t="shared" si="367"/>
        <v>-10000</v>
      </c>
      <c r="F1077" s="2050">
        <f t="shared" si="367"/>
        <v>-10000</v>
      </c>
      <c r="G1077" s="2050">
        <f t="shared" si="367"/>
        <v>-10000</v>
      </c>
      <c r="H1077" s="2050">
        <f t="shared" si="367"/>
        <v>-10000</v>
      </c>
      <c r="I1077" s="2050">
        <f t="shared" si="367"/>
        <v>-10000</v>
      </c>
      <c r="J1077" s="2050">
        <f t="shared" si="367"/>
        <v>-10000</v>
      </c>
      <c r="K1077" s="2050">
        <f t="shared" si="367"/>
        <v>-10000</v>
      </c>
      <c r="N1077" s="1979">
        <f>'Part VII-Pro Forma'!N62</f>
        <v>0</v>
      </c>
      <c r="O1077" s="1979"/>
    </row>
    <row r="1078" spans="1:15">
      <c r="A1078" s="638" t="s">
        <v>3901</v>
      </c>
      <c r="B1078" s="2050">
        <f>IF('Part III-Sources of Funds'!$P$43="", 0,-'Part III-Sources of Funds'!$P$43)</f>
        <v>0</v>
      </c>
      <c r="C1078" s="2050">
        <f>IF('Part III-Sources of Funds'!$P$43="", 0,-'Part III-Sources of Funds'!$P$43)</f>
        <v>0</v>
      </c>
      <c r="D1078" s="2050">
        <f>IF('Part III-Sources of Funds'!$P$43="", 0,-'Part III-Sources of Funds'!$P$43)</f>
        <v>0</v>
      </c>
      <c r="E1078" s="2050">
        <f>IF('Part III-Sources of Funds'!$P$43="", 0,-'Part III-Sources of Funds'!$P$43)</f>
        <v>0</v>
      </c>
      <c r="F1078" s="2050">
        <f>IF('Part III-Sources of Funds'!$P$43="", 0,-'Part III-Sources of Funds'!$P$43)</f>
        <v>0</v>
      </c>
      <c r="G1078" s="2050"/>
      <c r="H1078" s="2050"/>
      <c r="I1078" s="2050"/>
      <c r="J1078" s="2050"/>
      <c r="K1078" s="2050"/>
      <c r="N1078" s="1979">
        <f>'Part VII-Pro Forma'!N63</f>
        <v>0</v>
      </c>
      <c r="O1078" s="1979"/>
    </row>
    <row r="1079" spans="1:15">
      <c r="A1079" s="638" t="s">
        <v>1151</v>
      </c>
      <c r="B1079" s="2050">
        <f>'Part VII-Pro Forma'!B64</f>
        <v>31377.81450471576</v>
      </c>
      <c r="C1079" s="2050">
        <f>'Part VII-Pro Forma'!C64</f>
        <v>30493.937642286357</v>
      </c>
      <c r="D1079" s="2050">
        <f>'Part VII-Pro Forma'!D64</f>
        <v>29413.454381897784</v>
      </c>
      <c r="E1079" s="2050">
        <f>'Part VII-Pro Forma'!E64</f>
        <v>28129.481929768808</v>
      </c>
      <c r="F1079" s="2050">
        <f>'Part VII-Pro Forma'!F64</f>
        <v>26630.799916268996</v>
      </c>
      <c r="G1079" s="2050">
        <f>'Part VII-Pro Forma'!G64</f>
        <v>24907.838846800674</v>
      </c>
      <c r="H1079" s="2050">
        <f>'Part VII-Pro Forma'!H64</f>
        <v>22950.668177774642</v>
      </c>
      <c r="I1079" s="2050">
        <f>'Part VII-Pro Forma'!I64</f>
        <v>20747.984005853476</v>
      </c>
      <c r="J1079" s="2050">
        <f>'Part VII-Pro Forma'!J64</f>
        <v>18289.096358294133</v>
      </c>
      <c r="K1079" s="2050">
        <f>'Part VII-Pro Forma'!K64</f>
        <v>15562.916071818006</v>
      </c>
      <c r="N1079" s="1979">
        <f>'Part VII-Pro Forma'!N64</f>
        <v>0</v>
      </c>
      <c r="O1079" s="1979"/>
    </row>
    <row r="1080" spans="1:15">
      <c r="A1080" s="638" t="str">
        <f>$A1048</f>
        <v>DCR Mortgage A</v>
      </c>
      <c r="B1080" s="2051">
        <f>'Part VII-Pro Forma'!B65</f>
        <v>1.4478529153290334</v>
      </c>
      <c r="C1080" s="2051">
        <f>'Part VII-Pro Forma'!C65</f>
        <v>1.4427730594173207</v>
      </c>
      <c r="D1080" s="2051">
        <f>'Part VII-Pro Forma'!D65</f>
        <v>1.4365632585829542</v>
      </c>
      <c r="E1080" s="2051">
        <f>'Part VII-Pro Forma'!E65</f>
        <v>1.4291839557313146</v>
      </c>
      <c r="F1080" s="2051">
        <f>'Part VII-Pro Forma'!F65</f>
        <v>1.4205706646614147</v>
      </c>
      <c r="G1080" s="2051">
        <f>'Part VII-Pro Forma'!G65</f>
        <v>1.4106683871537395</v>
      </c>
      <c r="H1080" s="2051">
        <f>'Part VII-Pro Forma'!H65</f>
        <v>1.3994200499521572</v>
      </c>
      <c r="I1080" s="2051">
        <f>'Part VII-Pro Forma'!I65</f>
        <v>1.3867606867670923</v>
      </c>
      <c r="J1080" s="2051">
        <f>'Part VII-Pro Forma'!J65</f>
        <v>1.3726288597178364</v>
      </c>
      <c r="K1080" s="2051">
        <f>'Part VII-Pro Forma'!K65</f>
        <v>1.3569608366783079</v>
      </c>
      <c r="N1080" s="1979">
        <f>'Part VII-Pro Forma'!N65</f>
        <v>0</v>
      </c>
      <c r="O1080" s="1979"/>
    </row>
    <row r="1081" spans="1:15">
      <c r="A1081" s="638" t="str">
        <f>$A1049</f>
        <v>DCR Mortgage B</v>
      </c>
      <c r="B1081" s="2051">
        <f>'Part VII-Pro Forma'!B66</f>
        <v>2.132180876808377</v>
      </c>
      <c r="C1081" s="2051">
        <f>'Part VII-Pro Forma'!C66</f>
        <v>2.1079962142525064</v>
      </c>
      <c r="D1081" s="2051">
        <f>'Part VII-Pro Forma'!D66</f>
        <v>2.0784320021314411</v>
      </c>
      <c r="E1081" s="2051">
        <f>'Part VII-Pro Forma'!E66</f>
        <v>2.0432999132560488</v>
      </c>
      <c r="F1081" s="2051">
        <f>'Part VII-Pro Forma'!F66</f>
        <v>2.0022929355697867</v>
      </c>
      <c r="G1081" s="2051">
        <f>'Part VII-Pro Forma'!G66</f>
        <v>1.9551492283032992</v>
      </c>
      <c r="H1081" s="2051">
        <f>'Part VII-Pro Forma'!H66</f>
        <v>1.9015970716549824</v>
      </c>
      <c r="I1081" s="2051">
        <f>'Part VII-Pro Forma'!I66</f>
        <v>1.8413271679167504</v>
      </c>
      <c r="J1081" s="2051">
        <f>'Part VII-Pro Forma'!J66</f>
        <v>1.7740470177660035</v>
      </c>
      <c r="K1081" s="2051">
        <f>'Part VII-Pro Forma'!K66</f>
        <v>1.6994531992179387</v>
      </c>
      <c r="N1081" s="1979">
        <f>'Part VII-Pro Forma'!N66</f>
        <v>0</v>
      </c>
      <c r="O1081" s="1979"/>
    </row>
    <row r="1082" spans="1:15">
      <c r="A1082" s="638" t="str">
        <f>$A1050</f>
        <v>DCR Mortgage C</v>
      </c>
      <c r="B1082" s="2051" t="str">
        <f>'Part VII-Pro Forma'!B67</f>
        <v/>
      </c>
      <c r="C1082" s="2051" t="str">
        <f>'Part VII-Pro Forma'!C67</f>
        <v/>
      </c>
      <c r="D1082" s="2051" t="str">
        <f>'Part VII-Pro Forma'!D67</f>
        <v/>
      </c>
      <c r="E1082" s="2051" t="str">
        <f>'Part VII-Pro Forma'!E67</f>
        <v/>
      </c>
      <c r="F1082" s="2051" t="str">
        <f>'Part VII-Pro Forma'!F67</f>
        <v/>
      </c>
      <c r="G1082" s="2051" t="str">
        <f>'Part VII-Pro Forma'!G67</f>
        <v/>
      </c>
      <c r="H1082" s="2051" t="str">
        <f>'Part VII-Pro Forma'!H67</f>
        <v/>
      </c>
      <c r="I1082" s="2051" t="str">
        <f>'Part VII-Pro Forma'!I67</f>
        <v/>
      </c>
      <c r="J1082" s="2051" t="str">
        <f>'Part VII-Pro Forma'!J67</f>
        <v/>
      </c>
      <c r="K1082" s="2051" t="str">
        <f>'Part VII-Pro Forma'!K67</f>
        <v/>
      </c>
      <c r="N1082" s="1979">
        <f>'Part VII-Pro Forma'!N67</f>
        <v>0</v>
      </c>
      <c r="O1082" s="1979"/>
    </row>
    <row r="1083" spans="1:15">
      <c r="A1083" s="638" t="str">
        <f>$A1051</f>
        <v>DCR Other Source</v>
      </c>
      <c r="B1083" s="2051" t="str">
        <f>'Part VII-Pro Forma'!B68</f>
        <v/>
      </c>
      <c r="C1083" s="2051" t="str">
        <f>'Part VII-Pro Forma'!C68</f>
        <v/>
      </c>
      <c r="D1083" s="2051" t="str">
        <f>'Part VII-Pro Forma'!D68</f>
        <v/>
      </c>
      <c r="E1083" s="2051" t="str">
        <f>'Part VII-Pro Forma'!E68</f>
        <v/>
      </c>
      <c r="F1083" s="2051" t="str">
        <f>'Part VII-Pro Forma'!F68</f>
        <v/>
      </c>
      <c r="G1083" s="2051" t="str">
        <f>'Part VII-Pro Forma'!G68</f>
        <v/>
      </c>
      <c r="H1083" s="2051" t="str">
        <f>'Part VII-Pro Forma'!H68</f>
        <v/>
      </c>
      <c r="I1083" s="2051" t="str">
        <f>'Part VII-Pro Forma'!I68</f>
        <v/>
      </c>
      <c r="J1083" s="2051" t="str">
        <f>'Part VII-Pro Forma'!J68</f>
        <v/>
      </c>
      <c r="K1083" s="2051" t="str">
        <f>'Part VII-Pro Forma'!K68</f>
        <v/>
      </c>
      <c r="N1083" s="1979">
        <f>'Part VII-Pro Forma'!N68</f>
        <v>0</v>
      </c>
      <c r="O1083" s="1979"/>
    </row>
    <row r="1084" spans="1:15">
      <c r="A1084" s="638" t="s">
        <v>3611</v>
      </c>
      <c r="B1084" s="2051">
        <f>'Part VII-Pro Forma'!B69</f>
        <v>1.1965286299364128</v>
      </c>
      <c r="C1084" s="2051">
        <f>'Part VII-Pro Forma'!C69</f>
        <v>1.1923305563821425</v>
      </c>
      <c r="D1084" s="2051">
        <f>'Part VII-Pro Forma'!D69</f>
        <v>1.1871986784090032</v>
      </c>
      <c r="E1084" s="2051">
        <f>'Part VII-Pro Forma'!E69</f>
        <v>1.1811003054061409</v>
      </c>
      <c r="F1084" s="2051">
        <f>'Part VII-Pro Forma'!F69</f>
        <v>1.1739821449535173</v>
      </c>
      <c r="G1084" s="2051">
        <f>'Part VII-Pro Forma'!G69</f>
        <v>1.1657987456495789</v>
      </c>
      <c r="H1084" s="2051">
        <f>'Part VII-Pro Forma'!H69</f>
        <v>1.1565029412495764</v>
      </c>
      <c r="I1084" s="2051">
        <f>'Part VII-Pro Forma'!I69</f>
        <v>1.1460410425806424</v>
      </c>
      <c r="J1084" s="2051">
        <f>'Part VII-Pro Forma'!J69</f>
        <v>1.1343622764030006</v>
      </c>
      <c r="K1084" s="2051">
        <f>'Part VII-Pro Forma'!K69</f>
        <v>1.1214139734760844</v>
      </c>
      <c r="N1084" s="1979">
        <f>'Part VII-Pro Forma'!N69</f>
        <v>0</v>
      </c>
      <c r="O1084" s="1979"/>
    </row>
    <row r="1085" spans="1:15">
      <c r="A1085" s="638" t="s">
        <v>759</v>
      </c>
      <c r="B1085" s="2052">
        <f>'Part VII-Pro Forma'!B70</f>
        <v>1.3956489778164047</v>
      </c>
      <c r="C1085" s="2052">
        <f>'Part VII-Pro Forma'!C70</f>
        <v>1.3830373967781844</v>
      </c>
      <c r="D1085" s="2052">
        <f>'Part VII-Pro Forma'!D70</f>
        <v>1.370528810195885</v>
      </c>
      <c r="E1085" s="2052">
        <f>'Part VII-Pro Forma'!E70</f>
        <v>1.3581273769730964</v>
      </c>
      <c r="F1085" s="2052">
        <f>'Part VII-Pro Forma'!F70</f>
        <v>1.3458290318264432</v>
      </c>
      <c r="G1085" s="2052">
        <f>'Part VII-Pro Forma'!G70</f>
        <v>1.3336338289830059</v>
      </c>
      <c r="H1085" s="2052">
        <f>'Part VII-Pro Forma'!H70</f>
        <v>1.3215417298136394</v>
      </c>
      <c r="I1085" s="2052">
        <f>'Part VII-Pro Forma'!I70</f>
        <v>1.3095509304551498</v>
      </c>
      <c r="J1085" s="2052">
        <f>'Part VII-Pro Forma'!J70</f>
        <v>1.297661417122016</v>
      </c>
      <c r="K1085" s="2052">
        <f>'Part VII-Pro Forma'!K70</f>
        <v>1.2858730907004445</v>
      </c>
      <c r="N1085" s="1979">
        <f>'Part VII-Pro Forma'!N70</f>
        <v>0</v>
      </c>
      <c r="O1085" s="1979"/>
    </row>
    <row r="1086" spans="1:15">
      <c r="A1086" s="638" t="s">
        <v>2583</v>
      </c>
      <c r="B1086" s="2050">
        <f>'Part VII-Pro Forma'!B71</f>
        <v>2111988.7271660985</v>
      </c>
      <c r="C1086" s="2050">
        <f>'Part VII-Pro Forma'!C71</f>
        <v>2074157.6918330241</v>
      </c>
      <c r="D1086" s="2050">
        <f>'Part VII-Pro Forma'!D71</f>
        <v>2033793.0420005198</v>
      </c>
      <c r="E1086" s="2050">
        <f>'Part VII-Pro Forma'!E71</f>
        <v>1990725.0968132985</v>
      </c>
      <c r="F1086" s="2050">
        <f>'Part VII-Pro Forma'!F71</f>
        <v>1944772.8115749455</v>
      </c>
      <c r="G1086" s="2050">
        <f>'Part VII-Pro Forma'!G71</f>
        <v>1895743.0166904305</v>
      </c>
      <c r="H1086" s="2050">
        <f>'Part VII-Pro Forma'!H71</f>
        <v>1843429.6056391948</v>
      </c>
      <c r="I1086" s="2050">
        <f>'Part VII-Pro Forma'!I71</f>
        <v>1787612.6685652875</v>
      </c>
      <c r="J1086" s="2050">
        <f>'Part VII-Pro Forma'!J71</f>
        <v>1728057.5678424311</v>
      </c>
      <c r="K1086" s="2050">
        <f>'Part VII-Pro Forma'!K71</f>
        <v>1664513.9517279672</v>
      </c>
      <c r="N1086" s="1979">
        <f>'Part VII-Pro Forma'!N71</f>
        <v>0</v>
      </c>
      <c r="O1086" s="1979"/>
    </row>
    <row r="1087" spans="1:15">
      <c r="A1087" s="638" t="s">
        <v>2584</v>
      </c>
      <c r="B1087" s="2050">
        <f>'Part VII-Pro Forma'!B72</f>
        <v>914697.73703150684</v>
      </c>
      <c r="C1087" s="2050">
        <f>'Part VII-Pro Forma'!C72</f>
        <v>887171.78146693902</v>
      </c>
      <c r="D1087" s="2050">
        <f>'Part VII-Pro Forma'!D72</f>
        <v>859369.30122938729</v>
      </c>
      <c r="E1087" s="2050">
        <f>'Part VII-Pro Forma'!E72</f>
        <v>831287.51836280257</v>
      </c>
      <c r="F1087" s="2050">
        <f>'Part VII-Pro Forma'!F72</f>
        <v>802923.6270038978</v>
      </c>
      <c r="G1087" s="2050">
        <f>'Part VII-Pro Forma'!G72</f>
        <v>774274.79310179327</v>
      </c>
      <c r="H1087" s="2050">
        <f>'Part VII-Pro Forma'!H72</f>
        <v>745338.15413484478</v>
      </c>
      <c r="I1087" s="2050">
        <f>'Part VII-Pro Forma'!I72</f>
        <v>716110.8188246279</v>
      </c>
      <c r="J1087" s="2050">
        <f>'Part VII-Pro Forma'!J72</f>
        <v>686589.86684704805</v>
      </c>
      <c r="K1087" s="2050">
        <f>'Part VII-Pro Forma'!K72</f>
        <v>656772.34854054917</v>
      </c>
      <c r="N1087" s="1979">
        <f>'Part VII-Pro Forma'!N72</f>
        <v>0</v>
      </c>
      <c r="O1087" s="1979"/>
    </row>
    <row r="1088" spans="1:15">
      <c r="A1088" s="638" t="s">
        <v>2585</v>
      </c>
      <c r="B1088" s="2050" t="str">
        <f>'Part VII-Pro Forma'!B73</f>
        <v/>
      </c>
      <c r="C1088" s="2050" t="str">
        <f>'Part VII-Pro Forma'!C73</f>
        <v/>
      </c>
      <c r="D1088" s="2050" t="str">
        <f>'Part VII-Pro Forma'!D73</f>
        <v/>
      </c>
      <c r="E1088" s="2050" t="str">
        <f>'Part VII-Pro Forma'!E73</f>
        <v/>
      </c>
      <c r="F1088" s="2050" t="str">
        <f>'Part VII-Pro Forma'!F73</f>
        <v/>
      </c>
      <c r="G1088" s="2050" t="str">
        <f>'Part VII-Pro Forma'!G73</f>
        <v/>
      </c>
      <c r="H1088" s="2050" t="str">
        <f>'Part VII-Pro Forma'!H73</f>
        <v/>
      </c>
      <c r="I1088" s="2050" t="str">
        <f>'Part VII-Pro Forma'!I73</f>
        <v/>
      </c>
      <c r="J1088" s="2050" t="str">
        <f>'Part VII-Pro Forma'!J73</f>
        <v/>
      </c>
      <c r="K1088" s="2050" t="str">
        <f>'Part VII-Pro Forma'!K73</f>
        <v/>
      </c>
      <c r="N1088" s="1979">
        <f>'Part VII-Pro Forma'!N73</f>
        <v>0</v>
      </c>
      <c r="O1088" s="1979"/>
    </row>
    <row r="1089" spans="1:15">
      <c r="A1089" s="638" t="s">
        <v>772</v>
      </c>
      <c r="B1089" s="2050" t="str">
        <f>'Part VII-Pro Forma'!B74</f>
        <v/>
      </c>
      <c r="C1089" s="2050" t="str">
        <f>'Part VII-Pro Forma'!C74</f>
        <v/>
      </c>
      <c r="D1089" s="2050" t="str">
        <f>'Part VII-Pro Forma'!D74</f>
        <v/>
      </c>
      <c r="E1089" s="2050" t="str">
        <f>'Part VII-Pro Forma'!E74</f>
        <v/>
      </c>
      <c r="F1089" s="2050" t="str">
        <f>'Part VII-Pro Forma'!F74</f>
        <v/>
      </c>
      <c r="G1089" s="2050" t="str">
        <f>'Part VII-Pro Forma'!G74</f>
        <v/>
      </c>
      <c r="H1089" s="2050" t="str">
        <f>'Part VII-Pro Forma'!H74</f>
        <v/>
      </c>
      <c r="I1089" s="2050" t="str">
        <f>'Part VII-Pro Forma'!I74</f>
        <v/>
      </c>
      <c r="J1089" s="2050" t="str">
        <f>'Part VII-Pro Forma'!J74</f>
        <v/>
      </c>
      <c r="K1089" s="2050" t="str">
        <f>'Part VII-Pro Forma'!K74</f>
        <v/>
      </c>
      <c r="N1089" s="1979">
        <f>'Part VII-Pro Forma'!N74</f>
        <v>0</v>
      </c>
      <c r="O1089" s="1979"/>
    </row>
    <row r="1090" spans="1:15">
      <c r="A1090" s="638" t="s">
        <v>3902</v>
      </c>
      <c r="B1090" s="2050" t="str">
        <f>'Part VII-Pro Forma'!B75</f>
        <v/>
      </c>
      <c r="C1090" s="2050" t="str">
        <f>'Part VII-Pro Forma'!C75</f>
        <v/>
      </c>
      <c r="D1090" s="2050" t="str">
        <f>'Part VII-Pro Forma'!D75</f>
        <v/>
      </c>
      <c r="E1090" s="2050" t="str">
        <f>'Part VII-Pro Forma'!E75</f>
        <v/>
      </c>
      <c r="F1090" s="2050" t="str">
        <f>'Part VII-Pro Forma'!F75</f>
        <v/>
      </c>
      <c r="G1090" s="2050" t="str">
        <f>'Part VII-Pro Forma'!G75</f>
        <v/>
      </c>
      <c r="H1090" s="2050" t="str">
        <f>'Part VII-Pro Forma'!H75</f>
        <v/>
      </c>
      <c r="I1090" s="2050" t="str">
        <f>'Part VII-Pro Forma'!I75</f>
        <v/>
      </c>
      <c r="J1090" s="2050" t="str">
        <f>'Part VII-Pro Forma'!J75</f>
        <v/>
      </c>
      <c r="K1090" s="2050" t="str">
        <f>'Part VII-Pro Forma'!K75</f>
        <v/>
      </c>
      <c r="N1090" s="1979">
        <f>'Part VII-Pro Forma'!N75</f>
        <v>0</v>
      </c>
      <c r="O1090" s="1979"/>
    </row>
    <row r="1091" spans="1:15">
      <c r="B1091" s="2050"/>
      <c r="C1091" s="2050"/>
      <c r="D1091" s="2050"/>
      <c r="E1091" s="2050"/>
      <c r="F1091" s="2050"/>
      <c r="G1091" s="2050"/>
      <c r="H1091" s="2050"/>
      <c r="I1091" s="2050"/>
      <c r="J1091" s="2050"/>
      <c r="K1091" s="2050"/>
    </row>
    <row r="1092" spans="1:15">
      <c r="A1092" s="638" t="s">
        <v>2448</v>
      </c>
      <c r="B1092" s="2050">
        <f>K1060+1</f>
        <v>21</v>
      </c>
      <c r="C1092" s="2050">
        <f t="shared" ref="C1092:K1092" si="368">B1092+1</f>
        <v>22</v>
      </c>
      <c r="D1092" s="2050">
        <f t="shared" si="368"/>
        <v>23</v>
      </c>
      <c r="E1092" s="2050">
        <f t="shared" si="368"/>
        <v>24</v>
      </c>
      <c r="F1092" s="2050">
        <f t="shared" si="368"/>
        <v>25</v>
      </c>
      <c r="G1092" s="2050">
        <f t="shared" si="368"/>
        <v>26</v>
      </c>
      <c r="H1092" s="2050">
        <f t="shared" si="368"/>
        <v>27</v>
      </c>
      <c r="I1092" s="2050">
        <f t="shared" si="368"/>
        <v>28</v>
      </c>
      <c r="J1092" s="2050">
        <f t="shared" si="368"/>
        <v>29</v>
      </c>
      <c r="K1092" s="2050">
        <f t="shared" si="368"/>
        <v>30</v>
      </c>
      <c r="N1092" s="1860" t="s">
        <v>2589</v>
      </c>
      <c r="O1092" s="1860"/>
    </row>
    <row r="1093" spans="1:15">
      <c r="A1093" s="638" t="s">
        <v>2373</v>
      </c>
      <c r="B1093" s="2050">
        <f>'Part VII-Pro Forma'!B78</f>
        <v>1141956.5175989491</v>
      </c>
      <c r="C1093" s="2050">
        <f>'Part VII-Pro Forma'!C78</f>
        <v>1164795.647950928</v>
      </c>
      <c r="D1093" s="2050">
        <f>'Part VII-Pro Forma'!D78</f>
        <v>1188091.5609099467</v>
      </c>
      <c r="E1093" s="2050">
        <f>'Part VII-Pro Forma'!E78</f>
        <v>1211853.3921281453</v>
      </c>
      <c r="F1093" s="2050">
        <f>'Part VII-Pro Forma'!F78</f>
        <v>1236090.4599707082</v>
      </c>
      <c r="G1093" s="2050">
        <f>'Part VII-Pro Forma'!G78</f>
        <v>1260812.2691701225</v>
      </c>
      <c r="H1093" s="2050">
        <f>'Part VII-Pro Forma'!H78</f>
        <v>1286028.514553525</v>
      </c>
      <c r="I1093" s="2050">
        <f>'Part VII-Pro Forma'!I78</f>
        <v>1311749.0848445953</v>
      </c>
      <c r="J1093" s="2050">
        <f>'Part VII-Pro Forma'!J78</f>
        <v>1337984.0665414876</v>
      </c>
      <c r="K1093" s="2050">
        <f>'Part VII-Pro Forma'!K78</f>
        <v>1364743.7478723172</v>
      </c>
      <c r="N1093" s="1979">
        <f>'Part VII-Pro Forma'!N78</f>
        <v>0</v>
      </c>
      <c r="O1093" s="1979"/>
    </row>
    <row r="1094" spans="1:15">
      <c r="A1094" s="638" t="s">
        <v>1003</v>
      </c>
      <c r="B1094" s="2050">
        <f>'Part VII-Pro Forma'!B79</f>
        <v>22839.130351978984</v>
      </c>
      <c r="C1094" s="2050">
        <f>'Part VII-Pro Forma'!C79</f>
        <v>23295.912959018562</v>
      </c>
      <c r="D1094" s="2050">
        <f>'Part VII-Pro Forma'!D79</f>
        <v>23761.831218198935</v>
      </c>
      <c r="E1094" s="2050">
        <f>'Part VII-Pro Forma'!E79</f>
        <v>24237.067842562908</v>
      </c>
      <c r="F1094" s="2050">
        <f>'Part VII-Pro Forma'!F79</f>
        <v>24721.809199414165</v>
      </c>
      <c r="G1094" s="2050">
        <f>'Part VII-Pro Forma'!G79</f>
        <v>25216.245383402449</v>
      </c>
      <c r="H1094" s="2050">
        <f>'Part VII-Pro Forma'!H79</f>
        <v>25720.5702910705</v>
      </c>
      <c r="I1094" s="2050">
        <f>'Part VII-Pro Forma'!I79</f>
        <v>26234.981696891908</v>
      </c>
      <c r="J1094" s="2050">
        <f>'Part VII-Pro Forma'!J79</f>
        <v>26759.68133082975</v>
      </c>
      <c r="K1094" s="2050">
        <f>'Part VII-Pro Forma'!K79</f>
        <v>27294.874957446344</v>
      </c>
      <c r="N1094" s="1979">
        <f>'Part VII-Pro Forma'!N79</f>
        <v>0</v>
      </c>
      <c r="O1094" s="1979"/>
    </row>
    <row r="1095" spans="1:15">
      <c r="A1095" s="638" t="s">
        <v>2374</v>
      </c>
      <c r="B1095" s="2050">
        <f>'Part VII-Pro Forma'!B80</f>
        <v>-81535.695356564975</v>
      </c>
      <c r="C1095" s="2050">
        <f>'Part VII-Pro Forma'!C80</f>
        <v>-83166.40926369626</v>
      </c>
      <c r="D1095" s="2050">
        <f>'Part VII-Pro Forma'!D80</f>
        <v>-84829.737448970191</v>
      </c>
      <c r="E1095" s="2050">
        <f>'Part VII-Pro Forma'!E80</f>
        <v>-86526.332197949581</v>
      </c>
      <c r="F1095" s="2050">
        <f>'Part VII-Pro Forma'!F80</f>
        <v>-88256.858841908586</v>
      </c>
      <c r="G1095" s="2050">
        <f>'Part VII-Pro Forma'!G80</f>
        <v>-90021.996018746766</v>
      </c>
      <c r="H1095" s="2050">
        <f>'Part VII-Pro Forma'!H80</f>
        <v>-91822.4359391217</v>
      </c>
      <c r="I1095" s="2050">
        <f>'Part VII-Pro Forma'!I80</f>
        <v>-93658.884657904113</v>
      </c>
      <c r="J1095" s="2050">
        <f>'Part VII-Pro Forma'!J80</f>
        <v>-95532.062351062224</v>
      </c>
      <c r="K1095" s="2050">
        <f>'Part VII-Pro Forma'!K80</f>
        <v>-97442.703598083448</v>
      </c>
      <c r="N1095" s="1979">
        <f>'Part VII-Pro Forma'!N80</f>
        <v>0</v>
      </c>
      <c r="O1095" s="1979"/>
    </row>
    <row r="1096" spans="1:15">
      <c r="A1096" s="638" t="s">
        <v>50</v>
      </c>
      <c r="B1096" s="2050">
        <f>'Part VII-Pro Forma'!B81</f>
        <v>0</v>
      </c>
      <c r="C1096" s="2050">
        <f>'Part VII-Pro Forma'!C81</f>
        <v>0</v>
      </c>
      <c r="D1096" s="2050">
        <f>'Part VII-Pro Forma'!D81</f>
        <v>0</v>
      </c>
      <c r="E1096" s="2050">
        <f>'Part VII-Pro Forma'!E81</f>
        <v>0</v>
      </c>
      <c r="F1096" s="2050">
        <f>'Part VII-Pro Forma'!F81</f>
        <v>0</v>
      </c>
      <c r="G1096" s="2050">
        <f>'Part VII-Pro Forma'!G81</f>
        <v>0</v>
      </c>
      <c r="H1096" s="2050">
        <f>'Part VII-Pro Forma'!H81</f>
        <v>0</v>
      </c>
      <c r="I1096" s="2050">
        <f>'Part VII-Pro Forma'!I81</f>
        <v>0</v>
      </c>
      <c r="J1096" s="2050">
        <f>'Part VII-Pro Forma'!J81</f>
        <v>0</v>
      </c>
      <c r="K1096" s="2050">
        <f>'Part VII-Pro Forma'!K81</f>
        <v>0</v>
      </c>
      <c r="N1096" s="1979">
        <f>'Part VII-Pro Forma'!N81</f>
        <v>0</v>
      </c>
      <c r="O1096" s="1979"/>
    </row>
    <row r="1097" spans="1:15">
      <c r="A1097" s="638" t="s">
        <v>51</v>
      </c>
      <c r="B1097" s="2050">
        <f>'Part VII-Pro Forma'!B82</f>
        <v>0</v>
      </c>
      <c r="C1097" s="2050">
        <f>'Part VII-Pro Forma'!C82</f>
        <v>0</v>
      </c>
      <c r="D1097" s="2050">
        <f>'Part VII-Pro Forma'!D82</f>
        <v>0</v>
      </c>
      <c r="E1097" s="2050">
        <f>'Part VII-Pro Forma'!E82</f>
        <v>0</v>
      </c>
      <c r="F1097" s="2050">
        <f>'Part VII-Pro Forma'!F82</f>
        <v>0</v>
      </c>
      <c r="G1097" s="2050">
        <f>'Part VII-Pro Forma'!G82</f>
        <v>0</v>
      </c>
      <c r="H1097" s="2050">
        <f>'Part VII-Pro Forma'!H82</f>
        <v>0</v>
      </c>
      <c r="I1097" s="2050">
        <f>'Part VII-Pro Forma'!I82</f>
        <v>0</v>
      </c>
      <c r="J1097" s="2050">
        <f>'Part VII-Pro Forma'!J82</f>
        <v>0</v>
      </c>
      <c r="K1097" s="2050">
        <f>'Part VII-Pro Forma'!K82</f>
        <v>0</v>
      </c>
      <c r="N1097" s="1979">
        <f>'Part VII-Pro Forma'!N82</f>
        <v>0</v>
      </c>
      <c r="O1097" s="1979"/>
    </row>
    <row r="1098" spans="1:15">
      <c r="A1098" s="638" t="s">
        <v>4607</v>
      </c>
      <c r="B1098" s="2050">
        <f>'Part VII-Pro Forma'!B83</f>
        <v>1083259.9525943631</v>
      </c>
      <c r="C1098" s="2050">
        <f>'Part VII-Pro Forma'!C83</f>
        <v>1104925.1516462502</v>
      </c>
      <c r="D1098" s="2050">
        <f>'Part VII-Pro Forma'!D83</f>
        <v>1127023.6546791755</v>
      </c>
      <c r="E1098" s="2050">
        <f>'Part VII-Pro Forma'!E83</f>
        <v>1149564.1277727587</v>
      </c>
      <c r="F1098" s="2050">
        <f>'Part VII-Pro Forma'!F83</f>
        <v>1172555.4103282138</v>
      </c>
      <c r="G1098" s="2050">
        <f>'Part VII-Pro Forma'!G83</f>
        <v>1196006.5185347782</v>
      </c>
      <c r="H1098" s="2050">
        <f>'Part VII-Pro Forma'!H83</f>
        <v>1219926.6489054738</v>
      </c>
      <c r="I1098" s="2050">
        <f>'Part VII-Pro Forma'!I83</f>
        <v>1244325.1818835831</v>
      </c>
      <c r="J1098" s="2050">
        <f>'Part VII-Pro Forma'!J83</f>
        <v>1269211.6855212552</v>
      </c>
      <c r="K1098" s="2050">
        <f>'Part VII-Pro Forma'!K83</f>
        <v>1294595.91923168</v>
      </c>
      <c r="N1098" s="1979">
        <f>'Part VII-Pro Forma'!N83</f>
        <v>0</v>
      </c>
      <c r="O1098" s="1979"/>
    </row>
    <row r="1099" spans="1:15">
      <c r="A1099" s="638" t="s">
        <v>604</v>
      </c>
      <c r="B1099" s="2050">
        <f>'Part VII-Pro Forma'!B84</f>
        <v>-758068.23186038481</v>
      </c>
      <c r="C1099" s="2050">
        <f>'Part VII-Pro Forma'!C84</f>
        <v>-780810.27881619625</v>
      </c>
      <c r="D1099" s="2050">
        <f>'Part VII-Pro Forma'!D84</f>
        <v>-804234.58718068223</v>
      </c>
      <c r="E1099" s="2050">
        <f>'Part VII-Pro Forma'!E84</f>
        <v>-828361.62479610275</v>
      </c>
      <c r="F1099" s="2050">
        <f>'Part VII-Pro Forma'!F84</f>
        <v>-853212.47353998572</v>
      </c>
      <c r="G1099" s="2050">
        <f>'Part VII-Pro Forma'!G84</f>
        <v>-878808.84774618526</v>
      </c>
      <c r="H1099" s="2050">
        <f>'Part VII-Pro Forma'!H84</f>
        <v>-905173.11317857099</v>
      </c>
      <c r="I1099" s="2050">
        <f>'Part VII-Pro Forma'!I84</f>
        <v>-932328.30657392798</v>
      </c>
      <c r="J1099" s="2050">
        <f>'Part VII-Pro Forma'!J84</f>
        <v>-960298.15577114583</v>
      </c>
      <c r="K1099" s="2050">
        <f>'Part VII-Pro Forma'!K84</f>
        <v>-989107.10044428008</v>
      </c>
      <c r="N1099" s="1979">
        <f>'Part VII-Pro Forma'!N84</f>
        <v>0</v>
      </c>
      <c r="O1099" s="1979"/>
    </row>
    <row r="1100" spans="1:15">
      <c r="A1100" s="638" t="s">
        <v>1102</v>
      </c>
      <c r="B1100" s="2050">
        <f>'Part VII-Pro Forma'!B85</f>
        <v>-54163</v>
      </c>
      <c r="C1100" s="2050">
        <f>'Part VII-Pro Forma'!C85</f>
        <v>-55246</v>
      </c>
      <c r="D1100" s="2050">
        <f>'Part VII-Pro Forma'!D85</f>
        <v>-56351</v>
      </c>
      <c r="E1100" s="2050">
        <f>'Part VII-Pro Forma'!E85</f>
        <v>-57478</v>
      </c>
      <c r="F1100" s="2050">
        <f>'Part VII-Pro Forma'!F85</f>
        <v>-58628</v>
      </c>
      <c r="G1100" s="2050">
        <f>'Part VII-Pro Forma'!G85</f>
        <v>-59800</v>
      </c>
      <c r="H1100" s="2050">
        <f>'Part VII-Pro Forma'!H85</f>
        <v>-60996</v>
      </c>
      <c r="I1100" s="2050">
        <f>'Part VII-Pro Forma'!I85</f>
        <v>-62216</v>
      </c>
      <c r="J1100" s="2050">
        <f>'Part VII-Pro Forma'!J85</f>
        <v>-63461</v>
      </c>
      <c r="K1100" s="2050">
        <f>'Part VII-Pro Forma'!K85</f>
        <v>-64730</v>
      </c>
      <c r="N1100" s="1979">
        <f>'Part VII-Pro Forma'!N85</f>
        <v>0</v>
      </c>
      <c r="O1100" s="1979"/>
    </row>
    <row r="1101" spans="1:15">
      <c r="A1101" s="638" t="s">
        <v>1187</v>
      </c>
      <c r="B1101" s="2050">
        <f>'Part VII-Pro Forma'!B86</f>
        <v>-37928.335928057677</v>
      </c>
      <c r="C1101" s="2050">
        <f>'Part VII-Pro Forma'!C86</f>
        <v>-39066.186005899406</v>
      </c>
      <c r="D1101" s="2050">
        <f>'Part VII-Pro Forma'!D86</f>
        <v>-40238.171586076387</v>
      </c>
      <c r="E1101" s="2050">
        <f>'Part VII-Pro Forma'!E86</f>
        <v>-41445.316733658685</v>
      </c>
      <c r="F1101" s="2050">
        <f>'Part VII-Pro Forma'!F86</f>
        <v>-42688.676235668441</v>
      </c>
      <c r="G1101" s="2050">
        <f>'Part VII-Pro Forma'!G86</f>
        <v>-43969.336522738493</v>
      </c>
      <c r="H1101" s="2050">
        <f>'Part VII-Pro Forma'!H86</f>
        <v>-45288.416618420655</v>
      </c>
      <c r="I1101" s="2050">
        <f>'Part VII-Pro Forma'!I86</f>
        <v>-46647.069116973267</v>
      </c>
      <c r="J1101" s="2050">
        <f>'Part VII-Pro Forma'!J86</f>
        <v>-48046.481190482467</v>
      </c>
      <c r="K1101" s="2050">
        <f>'Part VII-Pro Forma'!K86</f>
        <v>-49487.875626196932</v>
      </c>
      <c r="N1101" s="1979">
        <f>'Part VII-Pro Forma'!N86</f>
        <v>0</v>
      </c>
      <c r="O1101" s="1979"/>
    </row>
    <row r="1102" spans="1:15">
      <c r="A1102" s="638" t="s">
        <v>4606</v>
      </c>
      <c r="B1102" s="2050">
        <f>IF(B1092&lt;=+'Part VI-Revenues &amp; Expenses'!$K$243,-'Part VI-Revenues &amp; Expenses'!$H$243,0)</f>
        <v>0</v>
      </c>
      <c r="C1102" s="2050">
        <f>IF(C1092&lt;=+'Part VI-Revenues &amp; Expenses'!$K$243,-'Part VI-Revenues &amp; Expenses'!$H$243,0)</f>
        <v>0</v>
      </c>
      <c r="D1102" s="2050">
        <f>IF(D1092&lt;=+'Part VI-Revenues &amp; Expenses'!$K$243,-'Part VI-Revenues &amp; Expenses'!$H$243,0)</f>
        <v>0</v>
      </c>
      <c r="E1102" s="2050">
        <f>IF(E1092&lt;=+'Part VI-Revenues &amp; Expenses'!$K$243,-'Part VI-Revenues &amp; Expenses'!$H$243,0)</f>
        <v>0</v>
      </c>
      <c r="F1102" s="2050">
        <f>IF(F1092&lt;=+'Part VI-Revenues &amp; Expenses'!$K$243,-'Part VI-Revenues &amp; Expenses'!$H$243,0)</f>
        <v>0</v>
      </c>
      <c r="G1102" s="2050">
        <f>IF(G1092&lt;=+'Part VI-Revenues &amp; Expenses'!$K$243,-'Part VI-Revenues &amp; Expenses'!$H$243,0)</f>
        <v>0</v>
      </c>
      <c r="H1102" s="2050">
        <f>IF(H1092&lt;=+'Part VI-Revenues &amp; Expenses'!$K$243,-'Part VI-Revenues &amp; Expenses'!$H$243,0)</f>
        <v>0</v>
      </c>
      <c r="I1102" s="2050">
        <f>IF(I1092&lt;=+'Part VI-Revenues &amp; Expenses'!$K$243,-'Part VI-Revenues &amp; Expenses'!$H$243,0)</f>
        <v>0</v>
      </c>
      <c r="J1102" s="2050">
        <f>IF(J1092&lt;=+'Part VI-Revenues &amp; Expenses'!$K$243,-'Part VI-Revenues &amp; Expenses'!$H$243,0)</f>
        <v>0</v>
      </c>
      <c r="K1102" s="2050">
        <f>IF(K1092&lt;=+'Part VI-Revenues &amp; Expenses'!$K$243,-'Part VI-Revenues &amp; Expenses'!$H$243,0)</f>
        <v>0</v>
      </c>
      <c r="N1102" s="1979">
        <f>'Part VII-Pro Forma'!N87</f>
        <v>0</v>
      </c>
      <c r="O1102" s="1979"/>
    </row>
    <row r="1103" spans="1:15">
      <c r="A1103" s="638" t="s">
        <v>1188</v>
      </c>
      <c r="B1103" s="2050">
        <f>SUM(B1098:B1102)</f>
        <v>233100.38480592065</v>
      </c>
      <c r="C1103" s="2050">
        <f t="shared" ref="C1103:J1103" si="369">SUM(C1098:C1102)</f>
        <v>229802.68682415452</v>
      </c>
      <c r="D1103" s="2050">
        <f t="shared" si="369"/>
        <v>226199.89591241686</v>
      </c>
      <c r="E1103" s="2050">
        <f t="shared" si="369"/>
        <v>222279.18624299727</v>
      </c>
      <c r="F1103" s="2050">
        <f t="shared" si="369"/>
        <v>218026.26055255966</v>
      </c>
      <c r="G1103" s="2050">
        <f t="shared" si="369"/>
        <v>213428.33426585438</v>
      </c>
      <c r="H1103" s="2050">
        <f t="shared" si="369"/>
        <v>208469.11910848212</v>
      </c>
      <c r="I1103" s="2050">
        <f t="shared" si="369"/>
        <v>203133.80619268183</v>
      </c>
      <c r="J1103" s="2050">
        <f t="shared" si="369"/>
        <v>197406.04855962694</v>
      </c>
      <c r="K1103" s="2050">
        <f>SUM(K1098:K1102)</f>
        <v>191270.94316120297</v>
      </c>
      <c r="N1103" s="1979">
        <f>'Part VII-Pro Forma'!N88</f>
        <v>0</v>
      </c>
      <c r="O1103" s="1979"/>
    </row>
    <row r="1104" spans="1:15">
      <c r="A1104" s="638" t="str">
        <f>$A1072</f>
        <v>Mortgage A</v>
      </c>
      <c r="B1104" s="2050">
        <f>IF('Part III-Sources of Funds'!$P$38="", 0,-'Part III-Sources of Funds'!$P$38)</f>
        <v>-173996.44355885265</v>
      </c>
      <c r="C1104" s="2050">
        <f>IF('Part III-Sources of Funds'!$P$38="", 0,-'Part III-Sources of Funds'!$P$38)</f>
        <v>-173996.44355885265</v>
      </c>
      <c r="D1104" s="2050">
        <f>IF('Part III-Sources of Funds'!$P$38="", 0,-'Part III-Sources of Funds'!$P$38)</f>
        <v>-173996.44355885265</v>
      </c>
      <c r="E1104" s="2050">
        <f>IF('Part III-Sources of Funds'!$P$38="", 0,-'Part III-Sources of Funds'!$P$38)</f>
        <v>-173996.44355885265</v>
      </c>
      <c r="F1104" s="2050">
        <f>IF('Part III-Sources of Funds'!$P$38="", 0,-'Part III-Sources of Funds'!$P$38)</f>
        <v>-173996.44355885265</v>
      </c>
      <c r="G1104" s="2050">
        <f>IF('Part III-Sources of Funds'!$P$38="", 0,-'Part III-Sources of Funds'!$P$38)</f>
        <v>-173996.44355885265</v>
      </c>
      <c r="H1104" s="2050">
        <f>IF('Part III-Sources of Funds'!$P$38="", 0,-'Part III-Sources of Funds'!$P$38)</f>
        <v>-173996.44355885265</v>
      </c>
      <c r="I1104" s="2050">
        <f>IF('Part III-Sources of Funds'!$P$38="", 0,-'Part III-Sources of Funds'!$P$38)</f>
        <v>-173996.44355885265</v>
      </c>
      <c r="J1104" s="2050">
        <f>IF('Part III-Sources of Funds'!$P$38="", 0,-'Part III-Sources of Funds'!$P$38)</f>
        <v>-173996.44355885265</v>
      </c>
      <c r="K1104" s="2050">
        <f>IF('Part III-Sources of Funds'!$P$38="", 0,-'Part III-Sources of Funds'!$P$38)</f>
        <v>-173996.44355885265</v>
      </c>
      <c r="N1104" s="1979">
        <f>'Part VII-Pro Forma'!N89</f>
        <v>0</v>
      </c>
      <c r="O1104" s="1979"/>
    </row>
    <row r="1105" spans="1:15">
      <c r="A1105" s="638" t="str">
        <f>$A1073</f>
        <v>Mortgage B</v>
      </c>
      <c r="B1105" s="2050">
        <f>IF('Part III-Sources of Funds'!$P$39="", 0,-'Part III-Sources of Funds'!$P$39)</f>
        <v>0</v>
      </c>
      <c r="C1105" s="2050">
        <f>IF('Part III-Sources of Funds'!$P$39="", 0,-'Part III-Sources of Funds'!$P$39)</f>
        <v>0</v>
      </c>
      <c r="D1105" s="2050">
        <f>IF('Part III-Sources of Funds'!$P$39="", 0,-'Part III-Sources of Funds'!$P$39)</f>
        <v>0</v>
      </c>
      <c r="E1105" s="2050">
        <f>IF('Part III-Sources of Funds'!$P$39="", 0,-'Part III-Sources of Funds'!$P$39)</f>
        <v>0</v>
      </c>
      <c r="F1105" s="2050">
        <f>IF('Part III-Sources of Funds'!$P$39="", 0,-'Part III-Sources of Funds'!$P$39)</f>
        <v>0</v>
      </c>
      <c r="G1105" s="2050">
        <f>IF('Part III-Sources of Funds'!$P$39="", 0,-'Part III-Sources of Funds'!$P$39)</f>
        <v>0</v>
      </c>
      <c r="H1105" s="2050">
        <f>IF('Part III-Sources of Funds'!$P$39="", 0,-'Part III-Sources of Funds'!$P$39)</f>
        <v>0</v>
      </c>
      <c r="I1105" s="2050">
        <f>IF('Part III-Sources of Funds'!$P$39="", 0,-'Part III-Sources of Funds'!$P$39)</f>
        <v>0</v>
      </c>
      <c r="J1105" s="2050">
        <f>IF('Part III-Sources of Funds'!$P$39="", 0,-'Part III-Sources of Funds'!$P$39)</f>
        <v>0</v>
      </c>
      <c r="K1105" s="2050">
        <f>IF('Part III-Sources of Funds'!$P$39="", 0,-'Part III-Sources of Funds'!$P$39)</f>
        <v>0</v>
      </c>
      <c r="N1105" s="1979">
        <f>'Part VII-Pro Forma'!N90</f>
        <v>0</v>
      </c>
      <c r="O1105" s="1979"/>
    </row>
    <row r="1106" spans="1:15">
      <c r="A1106" s="638" t="str">
        <f>$A1074</f>
        <v>Mortgage C</v>
      </c>
      <c r="B1106" s="2050">
        <f>IF('Part III-Sources of Funds'!$P$40="", 0,-'Part III-Sources of Funds'!$P$40)</f>
        <v>0</v>
      </c>
      <c r="C1106" s="2050">
        <f>IF('Part III-Sources of Funds'!$P$40="", 0,-'Part III-Sources of Funds'!$P$40)</f>
        <v>0</v>
      </c>
      <c r="D1106" s="2050">
        <f>IF('Part III-Sources of Funds'!$P$40="", 0,-'Part III-Sources of Funds'!$P$40)</f>
        <v>0</v>
      </c>
      <c r="E1106" s="2050">
        <f>IF('Part III-Sources of Funds'!$P$40="", 0,-'Part III-Sources of Funds'!$P$40)</f>
        <v>0</v>
      </c>
      <c r="F1106" s="2050">
        <f>IF('Part III-Sources of Funds'!$P$40="", 0,-'Part III-Sources of Funds'!$P$40)</f>
        <v>0</v>
      </c>
      <c r="G1106" s="2050">
        <f>IF('Part III-Sources of Funds'!$P$40="", 0,-'Part III-Sources of Funds'!$P$40)</f>
        <v>0</v>
      </c>
      <c r="H1106" s="2050">
        <f>IF('Part III-Sources of Funds'!$P$40="", 0,-'Part III-Sources of Funds'!$P$40)</f>
        <v>0</v>
      </c>
      <c r="I1106" s="2050">
        <f>IF('Part III-Sources of Funds'!$P$40="", 0,-'Part III-Sources of Funds'!$P$40)</f>
        <v>0</v>
      </c>
      <c r="J1106" s="2050">
        <f>IF('Part III-Sources of Funds'!$P$40="", 0,-'Part III-Sources of Funds'!$P$40)</f>
        <v>0</v>
      </c>
      <c r="K1106" s="2050">
        <f>IF('Part III-Sources of Funds'!$P$40="", 0,-'Part III-Sources of Funds'!$P$40)</f>
        <v>0</v>
      </c>
      <c r="N1106" s="1979">
        <f>'Part VII-Pro Forma'!N91</f>
        <v>0</v>
      </c>
      <c r="O1106" s="1979"/>
    </row>
    <row r="1107" spans="1:15">
      <c r="A1107" s="638" t="str">
        <f>$A1075</f>
        <v>D/S Other Source,not DDF</v>
      </c>
      <c r="B1107" s="2050">
        <f>IF('Part III-Sources of Funds'!$P$41="", 0,-'Part III-Sources of Funds'!$P$41)</f>
        <v>0</v>
      </c>
      <c r="C1107" s="2050">
        <f>IF('Part III-Sources of Funds'!$P$41="", 0,-'Part III-Sources of Funds'!$P$41)</f>
        <v>0</v>
      </c>
      <c r="D1107" s="2050">
        <f>IF('Part III-Sources of Funds'!$P$41="", 0,-'Part III-Sources of Funds'!$P$41)</f>
        <v>0</v>
      </c>
      <c r="E1107" s="2050">
        <f>IF('Part III-Sources of Funds'!$P$41="", 0,-'Part III-Sources of Funds'!$P$41)</f>
        <v>0</v>
      </c>
      <c r="F1107" s="2050">
        <f>IF('Part III-Sources of Funds'!$P$41="", 0,-'Part III-Sources of Funds'!$P$41)</f>
        <v>0</v>
      </c>
      <c r="G1107" s="2050">
        <f>IF('Part III-Sources of Funds'!$P$41="", 0,-'Part III-Sources of Funds'!$P$41)</f>
        <v>0</v>
      </c>
      <c r="H1107" s="2050">
        <f>IF('Part III-Sources of Funds'!$P$41="", 0,-'Part III-Sources of Funds'!$P$41)</f>
        <v>0</v>
      </c>
      <c r="I1107" s="2050">
        <f>IF('Part III-Sources of Funds'!$P$41="", 0,-'Part III-Sources of Funds'!$P$41)</f>
        <v>0</v>
      </c>
      <c r="J1107" s="2050">
        <f>IF('Part III-Sources of Funds'!$P$41="", 0,-'Part III-Sources of Funds'!$P$41)</f>
        <v>0</v>
      </c>
      <c r="K1107" s="2050">
        <f>IF('Part III-Sources of Funds'!$P$41="", 0,-'Part III-Sources of Funds'!$P$41)</f>
        <v>0</v>
      </c>
      <c r="N1107" s="1979">
        <f>'Part VII-Pro Forma'!N92</f>
        <v>0</v>
      </c>
      <c r="O1107" s="1979"/>
    </row>
    <row r="1108" spans="1:15">
      <c r="A1108" s="638" t="s">
        <v>752</v>
      </c>
      <c r="B1108" s="2050"/>
      <c r="C1108" s="2050"/>
      <c r="D1108" s="2050"/>
      <c r="E1108" s="2050"/>
      <c r="F1108" s="2050"/>
      <c r="G1108" s="2050"/>
      <c r="H1108" s="2050"/>
      <c r="I1108" s="2050"/>
      <c r="J1108" s="2050"/>
      <c r="K1108" s="2050"/>
      <c r="N1108" s="1979">
        <f>'Part VII-Pro Forma'!N93</f>
        <v>0</v>
      </c>
      <c r="O1108" s="1979"/>
    </row>
    <row r="1109" spans="1:15">
      <c r="A1109" s="638" t="s">
        <v>1150</v>
      </c>
      <c r="B1109" s="2050">
        <f>+K1077</f>
        <v>-10000</v>
      </c>
      <c r="C1109" s="2050">
        <f t="shared" ref="C1109:K1109" si="370">+B1109</f>
        <v>-10000</v>
      </c>
      <c r="D1109" s="2050">
        <f t="shared" si="370"/>
        <v>-10000</v>
      </c>
      <c r="E1109" s="2050">
        <f t="shared" si="370"/>
        <v>-10000</v>
      </c>
      <c r="F1109" s="2050">
        <f t="shared" si="370"/>
        <v>-10000</v>
      </c>
      <c r="G1109" s="2050">
        <f t="shared" si="370"/>
        <v>-10000</v>
      </c>
      <c r="H1109" s="2050">
        <f t="shared" si="370"/>
        <v>-10000</v>
      </c>
      <c r="I1109" s="2050">
        <f t="shared" si="370"/>
        <v>-10000</v>
      </c>
      <c r="J1109" s="2050">
        <f t="shared" si="370"/>
        <v>-10000</v>
      </c>
      <c r="K1109" s="2050">
        <f t="shared" si="370"/>
        <v>-10000</v>
      </c>
      <c r="N1109" s="1979">
        <f>'Part VII-Pro Forma'!N94</f>
        <v>0</v>
      </c>
      <c r="O1109" s="1979"/>
    </row>
    <row r="1110" spans="1:15">
      <c r="A1110" s="638" t="s">
        <v>1151</v>
      </c>
      <c r="B1110" s="2050">
        <f>'Part VII-Pro Forma'!B95</f>
        <v>12556.941247067996</v>
      </c>
      <c r="C1110" s="2050">
        <f>'Part VII-Pro Forma'!C95</f>
        <v>9259.2432653018623</v>
      </c>
      <c r="D1110" s="2050">
        <f>'Part VII-Pro Forma'!D95</f>
        <v>5656.4523535642074</v>
      </c>
      <c r="E1110" s="2050">
        <f>'Part VII-Pro Forma'!E95</f>
        <v>1735.742684144614</v>
      </c>
      <c r="F1110" s="2050">
        <f>'Part VII-Pro Forma'!F95</f>
        <v>34029.816993707005</v>
      </c>
      <c r="G1110" s="2050">
        <f>'Part VII-Pro Forma'!G95</f>
        <v>29431.89070700173</v>
      </c>
      <c r="H1110" s="2050">
        <f>'Part VII-Pro Forma'!H95</f>
        <v>24472.675549629465</v>
      </c>
      <c r="I1110" s="2050">
        <f>'Part VII-Pro Forma'!I95</f>
        <v>19137.36263382918</v>
      </c>
      <c r="J1110" s="2050">
        <f>'Part VII-Pro Forma'!J95</f>
        <v>13409.605000774289</v>
      </c>
      <c r="K1110" s="2050">
        <f>'Part VII-Pro Forma'!K95</f>
        <v>7274.499602350319</v>
      </c>
      <c r="N1110" s="1979">
        <f>'Part VII-Pro Forma'!N95</f>
        <v>0</v>
      </c>
      <c r="O1110" s="1979"/>
    </row>
    <row r="1111" spans="1:15">
      <c r="A1111" s="638" t="str">
        <f>$A1080</f>
        <v>DCR Mortgage A</v>
      </c>
      <c r="B1111" s="2051">
        <f>'Part VII-Pro Forma'!B96</f>
        <v>1.3396847661836069</v>
      </c>
      <c r="C1111" s="2051">
        <f>'Part VII-Pro Forma'!C96</f>
        <v>1.3207320915523537</v>
      </c>
      <c r="D1111" s="2051">
        <f>'Part VII-Pro Forma'!D96</f>
        <v>1.300025973438399</v>
      </c>
      <c r="E1111" s="2051">
        <f>'Part VII-Pro Forma'!E96</f>
        <v>1.277492698681588</v>
      </c>
      <c r="F1111" s="2051">
        <f>'Part VII-Pro Forma'!F96</f>
        <v>1.2530500974223322</v>
      </c>
      <c r="G1111" s="2051">
        <f>'Part VII-Pro Forma'!G96</f>
        <v>1.2266246935884311</v>
      </c>
      <c r="H1111" s="2051">
        <f>'Part VII-Pro Forma'!H96</f>
        <v>1.198122874494095</v>
      </c>
      <c r="I1111" s="2051">
        <f>'Part VII-Pro Forma'!I96</f>
        <v>1.1674595298493773</v>
      </c>
      <c r="J1111" s="2051">
        <f>'Part VII-Pro Forma'!J96</f>
        <v>1.1345407096947715</v>
      </c>
      <c r="K1111" s="2051">
        <f>'Part VII-Pro Forma'!K96</f>
        <v>1.0992807625778132</v>
      </c>
      <c r="N1111" s="1979">
        <f>'Part VII-Pro Forma'!N96</f>
        <v>0</v>
      </c>
      <c r="O1111" s="1979"/>
    </row>
    <row r="1112" spans="1:15">
      <c r="A1112" s="638" t="str">
        <f>$A1081</f>
        <v>DCR Mortgage B</v>
      </c>
      <c r="B1112" s="2051">
        <f>'Part VII-Pro Forma'!B97</f>
        <v>1.6172036349650587</v>
      </c>
      <c r="C1112" s="2051">
        <f>'Part VII-Pro Forma'!C97</f>
        <v>1.5269719338195162</v>
      </c>
      <c r="D1112" s="2051">
        <f>'Part VII-Pro Forma'!D97</f>
        <v>1.4283922716930038</v>
      </c>
      <c r="E1112" s="2051">
        <f>'Part VII-Pro Forma'!E97</f>
        <v>1.321113707941681</v>
      </c>
      <c r="F1112" s="2051" t="str">
        <f>'Part VII-Pro Forma'!F97</f>
        <v/>
      </c>
      <c r="G1112" s="2051" t="str">
        <f>'Part VII-Pro Forma'!G97</f>
        <v/>
      </c>
      <c r="H1112" s="2051" t="str">
        <f>'Part VII-Pro Forma'!H97</f>
        <v/>
      </c>
      <c r="I1112" s="2051" t="str">
        <f>'Part VII-Pro Forma'!I97</f>
        <v/>
      </c>
      <c r="J1112" s="2051" t="str">
        <f>'Part VII-Pro Forma'!J97</f>
        <v/>
      </c>
      <c r="K1112" s="2051" t="str">
        <f>'Part VII-Pro Forma'!K97</f>
        <v/>
      </c>
      <c r="N1112" s="1979">
        <f>'Part VII-Pro Forma'!N97</f>
        <v>0</v>
      </c>
      <c r="O1112" s="1979"/>
    </row>
    <row r="1113" spans="1:15">
      <c r="A1113" s="638" t="str">
        <f>$A1082</f>
        <v>DCR Mortgage C</v>
      </c>
      <c r="B1113" s="2051" t="str">
        <f>'Part VII-Pro Forma'!B98</f>
        <v/>
      </c>
      <c r="C1113" s="2051" t="str">
        <f>'Part VII-Pro Forma'!C98</f>
        <v/>
      </c>
      <c r="D1113" s="2051" t="str">
        <f>'Part VII-Pro Forma'!D98</f>
        <v/>
      </c>
      <c r="E1113" s="2051" t="str">
        <f>'Part VII-Pro Forma'!E98</f>
        <v/>
      </c>
      <c r="F1113" s="2051" t="str">
        <f>'Part VII-Pro Forma'!F98</f>
        <v/>
      </c>
      <c r="G1113" s="2051" t="str">
        <f>'Part VII-Pro Forma'!G98</f>
        <v/>
      </c>
      <c r="H1113" s="2051" t="str">
        <f>'Part VII-Pro Forma'!H98</f>
        <v/>
      </c>
      <c r="I1113" s="2051" t="str">
        <f>'Part VII-Pro Forma'!I98</f>
        <v/>
      </c>
      <c r="J1113" s="2051" t="str">
        <f>'Part VII-Pro Forma'!J98</f>
        <v/>
      </c>
      <c r="K1113" s="2051" t="str">
        <f>'Part VII-Pro Forma'!K98</f>
        <v/>
      </c>
      <c r="N1113" s="1979">
        <f>'Part VII-Pro Forma'!N98</f>
        <v>0</v>
      </c>
      <c r="O1113" s="1979"/>
    </row>
    <row r="1114" spans="1:15">
      <c r="A1114" s="638" t="str">
        <f>$A1083</f>
        <v>DCR Other Source</v>
      </c>
      <c r="B1114" s="2051" t="str">
        <f>'Part VII-Pro Forma'!B99</f>
        <v/>
      </c>
      <c r="C1114" s="2051" t="str">
        <f>'Part VII-Pro Forma'!C99</f>
        <v/>
      </c>
      <c r="D1114" s="2051" t="str">
        <f>'Part VII-Pro Forma'!D99</f>
        <v/>
      </c>
      <c r="E1114" s="2051" t="str">
        <f>'Part VII-Pro Forma'!E99</f>
        <v/>
      </c>
      <c r="F1114" s="2051" t="str">
        <f>'Part VII-Pro Forma'!F99</f>
        <v/>
      </c>
      <c r="G1114" s="2051" t="str">
        <f>'Part VII-Pro Forma'!G99</f>
        <v/>
      </c>
      <c r="H1114" s="2051" t="str">
        <f>'Part VII-Pro Forma'!H99</f>
        <v/>
      </c>
      <c r="I1114" s="2051" t="str">
        <f>'Part VII-Pro Forma'!I99</f>
        <v/>
      </c>
      <c r="J1114" s="2051" t="str">
        <f>'Part VII-Pro Forma'!J99</f>
        <v/>
      </c>
      <c r="K1114" s="2051" t="str">
        <f>'Part VII-Pro Forma'!K99</f>
        <v/>
      </c>
      <c r="N1114" s="1979">
        <f>'Part VII-Pro Forma'!N99</f>
        <v>0</v>
      </c>
      <c r="O1114" s="1979"/>
    </row>
    <row r="1115" spans="1:15">
      <c r="A1115" s="638" t="s">
        <v>3611</v>
      </c>
      <c r="B1115" s="2051">
        <f>'Part VII-Pro Forma'!B100</f>
        <v>1.1071367546088544</v>
      </c>
      <c r="C1115" s="2051">
        <f>'Part VII-Pro Forma'!C100</f>
        <v>1.0914739634716688</v>
      </c>
      <c r="D1115" s="2051">
        <f>'Part VII-Pro Forma'!D100</f>
        <v>1.074362098809255</v>
      </c>
      <c r="E1115" s="2051">
        <f>'Part VII-Pro Forma'!E100</f>
        <v>1.0557402428960661</v>
      </c>
      <c r="F1115" s="2051">
        <f>'Part VII-Pro Forma'!F100</f>
        <v>1.2530500974223322</v>
      </c>
      <c r="G1115" s="2051">
        <f>'Part VII-Pro Forma'!G100</f>
        <v>1.2266246935884311</v>
      </c>
      <c r="H1115" s="2051">
        <f>'Part VII-Pro Forma'!H100</f>
        <v>1.198122874494095</v>
      </c>
      <c r="I1115" s="2051">
        <f>'Part VII-Pro Forma'!I100</f>
        <v>1.1674595298493773</v>
      </c>
      <c r="J1115" s="2051">
        <f>'Part VII-Pro Forma'!J100</f>
        <v>1.1345407096947715</v>
      </c>
      <c r="K1115" s="2051">
        <f>'Part VII-Pro Forma'!K100</f>
        <v>1.0992807625778132</v>
      </c>
      <c r="N1115" s="1979">
        <f>'Part VII-Pro Forma'!N100</f>
        <v>0</v>
      </c>
      <c r="O1115" s="1979"/>
    </row>
    <row r="1116" spans="1:15">
      <c r="A1116" s="638" t="s">
        <v>759</v>
      </c>
      <c r="B1116" s="2052">
        <f>'Part VII-Pro Forma'!B101</f>
        <v>1.2741842750911985</v>
      </c>
      <c r="C1116" s="2052">
        <f>'Part VII-Pro Forma'!C101</f>
        <v>1.2625948893574241</v>
      </c>
      <c r="D1116" s="2052">
        <f>'Part VII-Pro Forma'!D101</f>
        <v>1.2511033858854788</v>
      </c>
      <c r="E1116" s="2052">
        <f>'Part VII-Pro Forma'!E101</f>
        <v>1.2397096903960272</v>
      </c>
      <c r="F1116" s="2052">
        <f>'Part VII-Pro Forma'!F101</f>
        <v>1.2284123649904279</v>
      </c>
      <c r="G1116" s="2052">
        <f>'Part VII-Pro Forma'!G101</f>
        <v>1.2172125716638553</v>
      </c>
      <c r="H1116" s="2052">
        <f>'Part VII-Pro Forma'!H101</f>
        <v>1.2061076347420379</v>
      </c>
      <c r="I1116" s="2052">
        <f>'Part VII-Pro Forma'!I101</f>
        <v>1.1950974728905035</v>
      </c>
      <c r="J1116" s="2052">
        <f>'Part VII-Pro Forma'!J101</f>
        <v>1.1841808269634007</v>
      </c>
      <c r="K1116" s="2052">
        <f>'Part VII-Pro Forma'!K101</f>
        <v>1.1733586634124968</v>
      </c>
      <c r="N1116" s="1979">
        <f>'Part VII-Pro Forma'!N101</f>
        <v>0</v>
      </c>
      <c r="O1116" s="1979"/>
    </row>
    <row r="1117" spans="1:15">
      <c r="A1117" s="638" t="s">
        <v>2583</v>
      </c>
      <c r="B1117" s="2050">
        <f>'Part VII-Pro Forma'!B102</f>
        <v>1596714.701959379</v>
      </c>
      <c r="C1117" s="2050">
        <f>'Part VII-Pro Forma'!C102</f>
        <v>1524374.8108694055</v>
      </c>
      <c r="D1117" s="2050">
        <f>'Part VII-Pro Forma'!D102</f>
        <v>1447190.1832994742</v>
      </c>
      <c r="E1117" s="2050">
        <f>'Part VII-Pro Forma'!E102</f>
        <v>1364836.358275058</v>
      </c>
      <c r="F1117" s="2050">
        <f>'Part VII-Pro Forma'!F102</f>
        <v>1276967.1450692632</v>
      </c>
      <c r="G1117" s="2050">
        <f>'Part VII-Pro Forma'!G102</f>
        <v>1183213.16792107</v>
      </c>
      <c r="H1117" s="2050">
        <f>'Part VII-Pro Forma'!H102</f>
        <v>1083180.3132906584</v>
      </c>
      <c r="I1117" s="2050">
        <f>'Part VII-Pro Forma'!I102</f>
        <v>976448.07312454667</v>
      </c>
      <c r="J1117" s="2050">
        <f>'Part VII-Pro Forma'!J102</f>
        <v>862567.77716613025</v>
      </c>
      <c r="K1117" s="2050">
        <f>'Part VII-Pro Forma'!K102</f>
        <v>741060.70688078098</v>
      </c>
      <c r="N1117" s="1979">
        <f>'Part VII-Pro Forma'!N102</f>
        <v>0</v>
      </c>
      <c r="O1117" s="1979"/>
    </row>
    <row r="1118" spans="1:15">
      <c r="A1118" s="638" t="s">
        <v>2584</v>
      </c>
      <c r="B1118" s="2050">
        <f>'Part VII-Pro Forma'!B103</f>
        <v>626655.28461139032</v>
      </c>
      <c r="C1118" s="2050">
        <f>'Part VII-Pro Forma'!C103</f>
        <v>596235.66583596251</v>
      </c>
      <c r="D1118" s="2050">
        <f>'Part VII-Pro Forma'!D103</f>
        <v>565510.45276011375</v>
      </c>
      <c r="E1118" s="2050">
        <f>'Part VII-Pro Forma'!E103</f>
        <v>534476.57539545477</v>
      </c>
      <c r="F1118" s="2050">
        <f>'Part VII-Pro Forma'!F103</f>
        <v>539845.90616699168</v>
      </c>
      <c r="G1118" s="2050">
        <f>'Part VII-Pro Forma'!G103</f>
        <v>545269.17702544981</v>
      </c>
      <c r="H1118" s="2050">
        <f>'Part VII-Pro Forma'!H103</f>
        <v>550746.92985083268</v>
      </c>
      <c r="I1118" s="2050">
        <f>'Part VII-Pro Forma'!I103</f>
        <v>556279.71196684893</v>
      </c>
      <c r="J1118" s="2050">
        <f>'Part VII-Pro Forma'!J103</f>
        <v>561868.07619559998</v>
      </c>
      <c r="K1118" s="2050">
        <f>'Part VII-Pro Forma'!K103</f>
        <v>567512.58091281634</v>
      </c>
      <c r="N1118" s="1979">
        <f>'Part VII-Pro Forma'!N103</f>
        <v>0</v>
      </c>
      <c r="O1118" s="1979"/>
    </row>
    <row r="1119" spans="1:15">
      <c r="A1119" s="638" t="s">
        <v>2585</v>
      </c>
      <c r="B1119" s="2050" t="str">
        <f>'Part VII-Pro Forma'!B104</f>
        <v/>
      </c>
      <c r="C1119" s="2050" t="str">
        <f>'Part VII-Pro Forma'!C104</f>
        <v/>
      </c>
      <c r="D1119" s="2050" t="str">
        <f>'Part VII-Pro Forma'!D104</f>
        <v/>
      </c>
      <c r="E1119" s="2050" t="str">
        <f>'Part VII-Pro Forma'!E104</f>
        <v/>
      </c>
      <c r="F1119" s="2050" t="str">
        <f>'Part VII-Pro Forma'!F104</f>
        <v/>
      </c>
      <c r="G1119" s="2050" t="str">
        <f>'Part VII-Pro Forma'!G104</f>
        <v/>
      </c>
      <c r="H1119" s="2050" t="str">
        <f>'Part VII-Pro Forma'!H104</f>
        <v/>
      </c>
      <c r="I1119" s="2050" t="str">
        <f>'Part VII-Pro Forma'!I104</f>
        <v/>
      </c>
      <c r="J1119" s="2050" t="str">
        <f>'Part VII-Pro Forma'!J104</f>
        <v/>
      </c>
      <c r="K1119" s="2050" t="str">
        <f>'Part VII-Pro Forma'!K104</f>
        <v/>
      </c>
      <c r="N1119" s="1979">
        <f>'Part VII-Pro Forma'!N104</f>
        <v>0</v>
      </c>
      <c r="O1119" s="1979"/>
    </row>
    <row r="1120" spans="1:15">
      <c r="A1120" s="638" t="s">
        <v>772</v>
      </c>
      <c r="B1120" s="2050" t="str">
        <f>'Part VII-Pro Forma'!B105</f>
        <v/>
      </c>
      <c r="C1120" s="2050" t="str">
        <f>'Part VII-Pro Forma'!C105</f>
        <v/>
      </c>
      <c r="D1120" s="2050" t="str">
        <f>'Part VII-Pro Forma'!D105</f>
        <v/>
      </c>
      <c r="E1120" s="2050" t="str">
        <f>'Part VII-Pro Forma'!E105</f>
        <v/>
      </c>
      <c r="F1120" s="2050" t="str">
        <f>'Part VII-Pro Forma'!F105</f>
        <v/>
      </c>
      <c r="G1120" s="2050" t="str">
        <f>'Part VII-Pro Forma'!G105</f>
        <v/>
      </c>
      <c r="H1120" s="2050" t="str">
        <f>'Part VII-Pro Forma'!H105</f>
        <v/>
      </c>
      <c r="I1120" s="2050" t="str">
        <f>'Part VII-Pro Forma'!I105</f>
        <v/>
      </c>
      <c r="J1120" s="2050" t="str">
        <f>'Part VII-Pro Forma'!J105</f>
        <v/>
      </c>
      <c r="K1120" s="2050" t="str">
        <f>'Part VII-Pro Forma'!K105</f>
        <v/>
      </c>
      <c r="N1120" s="1979">
        <f>'Part VII-Pro Forma'!N105</f>
        <v>0</v>
      </c>
      <c r="O1120" s="1979"/>
    </row>
    <row r="1121" spans="1:15">
      <c r="B1121" s="2050"/>
      <c r="C1121" s="2050"/>
      <c r="D1121" s="2050"/>
      <c r="E1121" s="2050"/>
      <c r="F1121" s="2050"/>
      <c r="G1121" s="2050"/>
      <c r="H1121" s="2050"/>
      <c r="I1121" s="2050"/>
      <c r="J1121" s="2050"/>
      <c r="K1121" s="2050"/>
    </row>
    <row r="1122" spans="1:15">
      <c r="A1122" s="638" t="s">
        <v>2448</v>
      </c>
      <c r="B1122" s="2050">
        <f>K1092+1</f>
        <v>31</v>
      </c>
      <c r="C1122" s="2050">
        <f>B1122+1</f>
        <v>32</v>
      </c>
      <c r="D1122" s="2050">
        <f>C1122+1</f>
        <v>33</v>
      </c>
      <c r="E1122" s="2050">
        <f>D1122+1</f>
        <v>34</v>
      </c>
      <c r="F1122" s="2050">
        <f>E1122+1</f>
        <v>35</v>
      </c>
      <c r="G1122" s="2050"/>
      <c r="H1122" s="2050"/>
      <c r="I1122" s="2050"/>
      <c r="J1122" s="2050"/>
      <c r="K1122" s="2050"/>
      <c r="N1122" s="1860" t="s">
        <v>3601</v>
      </c>
      <c r="O1122" s="1860"/>
    </row>
    <row r="1123" spans="1:15">
      <c r="A1123" s="638" t="s">
        <v>2373</v>
      </c>
      <c r="B1123" s="2050">
        <f>'Part VII-Pro Forma'!B108</f>
        <v>1392038.6228297635</v>
      </c>
      <c r="C1123" s="2050">
        <f>'Part VII-Pro Forma'!C108</f>
        <v>1419879.3952863584</v>
      </c>
      <c r="D1123" s="2050">
        <f>'Part VII-Pro Forma'!D108</f>
        <v>1448276.983192086</v>
      </c>
      <c r="E1123" s="2050">
        <f>'Part VII-Pro Forma'!E108</f>
        <v>1477242.5228559277</v>
      </c>
      <c r="F1123" s="2050">
        <f>'Part VII-Pro Forma'!F108</f>
        <v>1506787.3733130463</v>
      </c>
      <c r="G1123" s="2050"/>
      <c r="H1123" s="2050"/>
      <c r="I1123" s="2050"/>
      <c r="J1123" s="2050"/>
      <c r="K1123" s="2050"/>
      <c r="N1123" s="1979">
        <f>'Part VII-Pro Forma'!N108</f>
        <v>0</v>
      </c>
      <c r="O1123" s="1979"/>
    </row>
    <row r="1124" spans="1:15">
      <c r="A1124" s="638" t="s">
        <v>1003</v>
      </c>
      <c r="B1124" s="2050">
        <f>'Part VII-Pro Forma'!B109</f>
        <v>27840.77245659527</v>
      </c>
      <c r="C1124" s="2050">
        <f>'Part VII-Pro Forma'!C109</f>
        <v>28397.58790572717</v>
      </c>
      <c r="D1124" s="2050">
        <f>'Part VII-Pro Forma'!D109</f>
        <v>28965.539663841719</v>
      </c>
      <c r="E1124" s="2050">
        <f>'Part VII-Pro Forma'!E109</f>
        <v>29544.850457118555</v>
      </c>
      <c r="F1124" s="2050">
        <f>'Part VII-Pro Forma'!F109</f>
        <v>30135.747466260924</v>
      </c>
      <c r="G1124" s="2050"/>
      <c r="H1124" s="2050"/>
      <c r="I1124" s="2050"/>
      <c r="J1124" s="2050"/>
      <c r="K1124" s="2050"/>
      <c r="N1124" s="1979">
        <f>'Part VII-Pro Forma'!N109</f>
        <v>0</v>
      </c>
      <c r="O1124" s="1979"/>
    </row>
    <row r="1125" spans="1:15">
      <c r="A1125" s="638" t="s">
        <v>2374</v>
      </c>
      <c r="B1125" s="2050">
        <f>'Part VII-Pro Forma'!B110</f>
        <v>-99391.55767004512</v>
      </c>
      <c r="C1125" s="2050">
        <f>'Part VII-Pro Forma'!C110</f>
        <v>-101379.388823446</v>
      </c>
      <c r="D1125" s="2050">
        <f>'Part VII-Pro Forma'!D110</f>
        <v>-103406.97659991495</v>
      </c>
      <c r="E1125" s="2050">
        <f>'Part VII-Pro Forma'!E110</f>
        <v>-105475.11613191325</v>
      </c>
      <c r="F1125" s="2050">
        <f>'Part VII-Pro Forma'!F110</f>
        <v>-107584.61845455153</v>
      </c>
      <c r="G1125" s="2050"/>
      <c r="H1125" s="2050"/>
      <c r="I1125" s="2050"/>
      <c r="J1125" s="2050"/>
      <c r="K1125" s="2050"/>
      <c r="N1125" s="1979">
        <f>'Part VII-Pro Forma'!N110</f>
        <v>0</v>
      </c>
      <c r="O1125" s="1979"/>
    </row>
    <row r="1126" spans="1:15">
      <c r="A1126" s="638" t="s">
        <v>50</v>
      </c>
      <c r="B1126" s="2050">
        <f>'Part VII-Pro Forma'!B111</f>
        <v>0</v>
      </c>
      <c r="C1126" s="2050">
        <f>'Part VII-Pro Forma'!C111</f>
        <v>0</v>
      </c>
      <c r="D1126" s="2050">
        <f>'Part VII-Pro Forma'!D111</f>
        <v>0</v>
      </c>
      <c r="E1126" s="2050">
        <f>'Part VII-Pro Forma'!E111</f>
        <v>0</v>
      </c>
      <c r="F1126" s="2050">
        <f>'Part VII-Pro Forma'!F111</f>
        <v>0</v>
      </c>
      <c r="G1126" s="2050"/>
      <c r="H1126" s="2050"/>
      <c r="I1126" s="2050"/>
      <c r="J1126" s="2050"/>
      <c r="K1126" s="2050"/>
      <c r="N1126" s="1979">
        <f>'Part VII-Pro Forma'!N111</f>
        <v>0</v>
      </c>
      <c r="O1126" s="1979"/>
    </row>
    <row r="1127" spans="1:15">
      <c r="A1127" s="638" t="s">
        <v>51</v>
      </c>
      <c r="B1127" s="2050">
        <f>'Part VII-Pro Forma'!B112</f>
        <v>0</v>
      </c>
      <c r="C1127" s="2050">
        <f>'Part VII-Pro Forma'!C112</f>
        <v>0</v>
      </c>
      <c r="D1127" s="2050">
        <f>'Part VII-Pro Forma'!D112</f>
        <v>0</v>
      </c>
      <c r="E1127" s="2050">
        <f>'Part VII-Pro Forma'!E112</f>
        <v>0</v>
      </c>
      <c r="F1127" s="2050">
        <f>'Part VII-Pro Forma'!F112</f>
        <v>0</v>
      </c>
      <c r="G1127" s="2050"/>
      <c r="H1127" s="2050"/>
      <c r="I1127" s="2050"/>
      <c r="J1127" s="2050"/>
      <c r="K1127" s="2050"/>
      <c r="N1127" s="1979">
        <f>'Part VII-Pro Forma'!N112</f>
        <v>0</v>
      </c>
      <c r="O1127" s="1979"/>
    </row>
    <row r="1128" spans="1:15">
      <c r="A1128" s="638" t="s">
        <v>4607</v>
      </c>
      <c r="B1128" s="2050">
        <f>'Part VII-Pro Forma'!B113</f>
        <v>1320487.8376163135</v>
      </c>
      <c r="C1128" s="2050">
        <f>'Part VII-Pro Forma'!C113</f>
        <v>1346897.5943686394</v>
      </c>
      <c r="D1128" s="2050">
        <f>'Part VII-Pro Forma'!D113</f>
        <v>1373835.5462560127</v>
      </c>
      <c r="E1128" s="2050">
        <f>'Part VII-Pro Forma'!E113</f>
        <v>1401312.2571811331</v>
      </c>
      <c r="F1128" s="2050">
        <f>'Part VII-Pro Forma'!F113</f>
        <v>1429338.5023247558</v>
      </c>
      <c r="G1128" s="2050"/>
      <c r="H1128" s="2050"/>
      <c r="I1128" s="2050"/>
      <c r="J1128" s="2050"/>
      <c r="K1128" s="2050"/>
      <c r="N1128" s="1979">
        <f>'Part VII-Pro Forma'!N113</f>
        <v>0</v>
      </c>
      <c r="O1128" s="1979"/>
    </row>
    <row r="1129" spans="1:15">
      <c r="A1129" s="638" t="s">
        <v>604</v>
      </c>
      <c r="B1129" s="2050">
        <f>'Part VII-Pro Forma'!B114</f>
        <v>-1018780.3134576085</v>
      </c>
      <c r="C1129" s="2050">
        <f>'Part VII-Pro Forma'!C114</f>
        <v>-1049343.722861337</v>
      </c>
      <c r="D1129" s="2050">
        <f>'Part VII-Pro Forma'!D114</f>
        <v>-1080824.0345471767</v>
      </c>
      <c r="E1129" s="2050">
        <f>'Part VII-Pro Forma'!E114</f>
        <v>-1113248.7555835922</v>
      </c>
      <c r="F1129" s="2050">
        <f>'Part VII-Pro Forma'!F114</f>
        <v>-1146646.2182510998</v>
      </c>
      <c r="G1129" s="2050"/>
      <c r="H1129" s="2050"/>
      <c r="I1129" s="2050"/>
      <c r="J1129" s="2050"/>
      <c r="K1129" s="2050"/>
      <c r="N1129" s="1979">
        <f>'Part VII-Pro Forma'!N114</f>
        <v>0</v>
      </c>
      <c r="O1129" s="1979"/>
    </row>
    <row r="1130" spans="1:15">
      <c r="A1130" s="638" t="s">
        <v>1102</v>
      </c>
      <c r="B1130" s="2050">
        <f>'Part VII-Pro Forma'!B115</f>
        <v>-66024</v>
      </c>
      <c r="C1130" s="2050">
        <f>'Part VII-Pro Forma'!C115</f>
        <v>-67345</v>
      </c>
      <c r="D1130" s="2050">
        <f>'Part VII-Pro Forma'!D115</f>
        <v>-68692</v>
      </c>
      <c r="E1130" s="2050">
        <f>'Part VII-Pro Forma'!E115</f>
        <v>-70066</v>
      </c>
      <c r="F1130" s="2050">
        <f>'Part VII-Pro Forma'!F115</f>
        <v>-71467</v>
      </c>
      <c r="G1130" s="2050"/>
      <c r="H1130" s="2050"/>
      <c r="I1130" s="2050"/>
      <c r="J1130" s="2050"/>
      <c r="K1130" s="2050"/>
      <c r="N1130" s="1979">
        <f>'Part VII-Pro Forma'!N115</f>
        <v>0</v>
      </c>
      <c r="O1130" s="1979"/>
    </row>
    <row r="1131" spans="1:15">
      <c r="A1131" s="638" t="s">
        <v>1187</v>
      </c>
      <c r="B1131" s="2050">
        <f>'Part VII-Pro Forma'!B116</f>
        <v>-50972.511894982839</v>
      </c>
      <c r="C1131" s="2050">
        <f>'Part VII-Pro Forma'!C116</f>
        <v>-52501.687251832336</v>
      </c>
      <c r="D1131" s="2050">
        <f>'Part VII-Pro Forma'!D116</f>
        <v>-54076.737869387296</v>
      </c>
      <c r="E1131" s="2050">
        <f>'Part VII-Pro Forma'!E116</f>
        <v>-55699.040005468916</v>
      </c>
      <c r="F1131" s="2050">
        <f>'Part VII-Pro Forma'!F116</f>
        <v>-57370.011205632974</v>
      </c>
      <c r="G1131" s="2050"/>
      <c r="H1131" s="2050"/>
      <c r="I1131" s="2050"/>
      <c r="J1131" s="2050"/>
      <c r="K1131" s="2050"/>
      <c r="N1131" s="1979">
        <f>'Part VII-Pro Forma'!N116</f>
        <v>0</v>
      </c>
      <c r="O1131" s="1979"/>
    </row>
    <row r="1132" spans="1:15">
      <c r="A1132" s="638" t="s">
        <v>4606</v>
      </c>
      <c r="B1132" s="2050">
        <f>IF(B1122&lt;=+'Part VI-Revenues &amp; Expenses'!$K$243,-'Part VI-Revenues &amp; Expenses'!$H$243,0)</f>
        <v>0</v>
      </c>
      <c r="C1132" s="2050">
        <f>IF(C1122&lt;=+'Part VI-Revenues &amp; Expenses'!$K$243,-'Part VI-Revenues &amp; Expenses'!$H$243,0)</f>
        <v>0</v>
      </c>
      <c r="D1132" s="2050">
        <f>IF(D1122&lt;=+'Part VI-Revenues &amp; Expenses'!$K$243,-'Part VI-Revenues &amp; Expenses'!$H$243,0)</f>
        <v>0</v>
      </c>
      <c r="E1132" s="2050">
        <f>IF(E1122&lt;=+'Part VI-Revenues &amp; Expenses'!$K$243,-'Part VI-Revenues &amp; Expenses'!$H$243,0)</f>
        <v>0</v>
      </c>
      <c r="F1132" s="2050">
        <f>IF(F1122&lt;=+'Part VI-Revenues &amp; Expenses'!$K$243,-'Part VI-Revenues &amp; Expenses'!$H$243,0)</f>
        <v>0</v>
      </c>
      <c r="G1132" s="2050"/>
      <c r="H1132" s="2050"/>
      <c r="I1132" s="2050"/>
      <c r="J1132" s="2050"/>
      <c r="K1132" s="2050"/>
      <c r="N1132" s="1979">
        <f>'Part VII-Pro Forma'!N117</f>
        <v>0</v>
      </c>
      <c r="O1132" s="1979"/>
    </row>
    <row r="1133" spans="1:15">
      <c r="A1133" s="638" t="s">
        <v>1188</v>
      </c>
      <c r="B1133" s="2050">
        <f t="shared" ref="B1133:E1133" si="371">SUM(B1128:B1132)</f>
        <v>184711.01226372219</v>
      </c>
      <c r="C1133" s="2050">
        <f t="shared" si="371"/>
        <v>177707.18425547006</v>
      </c>
      <c r="D1133" s="2050">
        <f t="shared" si="371"/>
        <v>170242.77383944878</v>
      </c>
      <c r="E1133" s="2050">
        <f t="shared" si="371"/>
        <v>162298.46159207201</v>
      </c>
      <c r="F1133" s="2050">
        <f>SUM(F1128:F1132)</f>
        <v>153855.27286802299</v>
      </c>
      <c r="G1133" s="2050"/>
      <c r="H1133" s="2050"/>
      <c r="I1133" s="2050"/>
      <c r="J1133" s="2050"/>
      <c r="K1133" s="2050"/>
      <c r="N1133" s="1979">
        <f>'Part VII-Pro Forma'!N118</f>
        <v>0</v>
      </c>
      <c r="O1133" s="1979"/>
    </row>
    <row r="1134" spans="1:15">
      <c r="A1134" s="638" t="str">
        <f>$A1104</f>
        <v>Mortgage A</v>
      </c>
      <c r="B1134" s="2050">
        <f>IF('Part III-Sources of Funds'!$P$38="", 0,-'Part III-Sources of Funds'!$P$38)</f>
        <v>-173996.44355885265</v>
      </c>
      <c r="C1134" s="2050">
        <f>IF('Part III-Sources of Funds'!$P$38="", 0,-'Part III-Sources of Funds'!$P$38)</f>
        <v>-173996.44355885265</v>
      </c>
      <c r="D1134" s="2050">
        <f>IF('Part III-Sources of Funds'!$P$38="", 0,-'Part III-Sources of Funds'!$P$38)</f>
        <v>-173996.44355885265</v>
      </c>
      <c r="E1134" s="2050">
        <f>IF('Part III-Sources of Funds'!$P$38="", 0,-'Part III-Sources of Funds'!$P$38)</f>
        <v>-173996.44355885265</v>
      </c>
      <c r="F1134" s="2050">
        <f>IF('Part III-Sources of Funds'!$P$38="", 0,-'Part III-Sources of Funds'!$P$38)</f>
        <v>-173996.44355885265</v>
      </c>
      <c r="G1134" s="2050"/>
      <c r="H1134" s="2050"/>
      <c r="I1134" s="2050"/>
      <c r="J1134" s="2050"/>
      <c r="K1134" s="2050"/>
      <c r="N1134" s="1979">
        <f>'Part VII-Pro Forma'!N119</f>
        <v>0</v>
      </c>
      <c r="O1134" s="1979"/>
    </row>
    <row r="1135" spans="1:15">
      <c r="A1135" s="638" t="str">
        <f>$A1105</f>
        <v>Mortgage B</v>
      </c>
      <c r="B1135" s="2050">
        <f>IF('Part III-Sources of Funds'!$P$39="", 0,-'Part III-Sources of Funds'!$P$39)</f>
        <v>0</v>
      </c>
      <c r="C1135" s="2050">
        <f>IF('Part III-Sources of Funds'!$P$39="", 0,-'Part III-Sources of Funds'!$P$39)</f>
        <v>0</v>
      </c>
      <c r="D1135" s="2050">
        <f>IF('Part III-Sources of Funds'!$P$39="", 0,-'Part III-Sources of Funds'!$P$39)</f>
        <v>0</v>
      </c>
      <c r="E1135" s="2050">
        <f>IF('Part III-Sources of Funds'!$P$39="", 0,-'Part III-Sources of Funds'!$P$39)</f>
        <v>0</v>
      </c>
      <c r="F1135" s="2050">
        <f>IF('Part III-Sources of Funds'!$P$39="", 0,-'Part III-Sources of Funds'!$P$39)</f>
        <v>0</v>
      </c>
      <c r="G1135" s="2050"/>
      <c r="H1135" s="2050"/>
      <c r="I1135" s="2050"/>
      <c r="J1135" s="2050"/>
      <c r="K1135" s="2050"/>
      <c r="N1135" s="1979">
        <f>'Part VII-Pro Forma'!N120</f>
        <v>0</v>
      </c>
      <c r="O1135" s="1979"/>
    </row>
    <row r="1136" spans="1:15">
      <c r="A1136" s="638" t="str">
        <f>$A1106</f>
        <v>Mortgage C</v>
      </c>
      <c r="B1136" s="2050">
        <f>IF('Part III-Sources of Funds'!$P$40="", 0,-'Part III-Sources of Funds'!$P$40)</f>
        <v>0</v>
      </c>
      <c r="C1136" s="2050">
        <f>IF('Part III-Sources of Funds'!$P$40="", 0,-'Part III-Sources of Funds'!$P$40)</f>
        <v>0</v>
      </c>
      <c r="D1136" s="2050">
        <f>IF('Part III-Sources of Funds'!$P$40="", 0,-'Part III-Sources of Funds'!$P$40)</f>
        <v>0</v>
      </c>
      <c r="E1136" s="2050">
        <f>IF('Part III-Sources of Funds'!$P$40="", 0,-'Part III-Sources of Funds'!$P$40)</f>
        <v>0</v>
      </c>
      <c r="F1136" s="2050">
        <f>IF('Part III-Sources of Funds'!$P$40="", 0,-'Part III-Sources of Funds'!$P$40)</f>
        <v>0</v>
      </c>
      <c r="G1136" s="2050"/>
      <c r="H1136" s="2050"/>
      <c r="I1136" s="2050"/>
      <c r="J1136" s="2050"/>
      <c r="K1136" s="2050"/>
      <c r="N1136" s="1979">
        <f>'Part VII-Pro Forma'!N121</f>
        <v>0</v>
      </c>
      <c r="O1136" s="1979"/>
    </row>
    <row r="1137" spans="1:15">
      <c r="A1137" s="638" t="str">
        <f>$A1107</f>
        <v>D/S Other Source,not DDF</v>
      </c>
      <c r="B1137" s="2050">
        <f>IF('Part III-Sources of Funds'!$P$41="", 0,-'Part III-Sources of Funds'!$P$41)</f>
        <v>0</v>
      </c>
      <c r="C1137" s="2050">
        <f>IF('Part III-Sources of Funds'!$P$41="", 0,-'Part III-Sources of Funds'!$P$41)</f>
        <v>0</v>
      </c>
      <c r="D1137" s="2050">
        <f>IF('Part III-Sources of Funds'!$P$41="", 0,-'Part III-Sources of Funds'!$P$41)</f>
        <v>0</v>
      </c>
      <c r="E1137" s="2050">
        <f>IF('Part III-Sources of Funds'!$P$41="", 0,-'Part III-Sources of Funds'!$P$41)</f>
        <v>0</v>
      </c>
      <c r="F1137" s="2050">
        <f>IF('Part III-Sources of Funds'!$P$41="", 0,-'Part III-Sources of Funds'!$P$41)</f>
        <v>0</v>
      </c>
      <c r="G1137" s="2050"/>
      <c r="H1137" s="2050"/>
      <c r="I1137" s="2050"/>
      <c r="J1137" s="2050"/>
      <c r="K1137" s="2050"/>
      <c r="N1137" s="1979">
        <f>'Part VII-Pro Forma'!N122</f>
        <v>0</v>
      </c>
      <c r="O1137" s="1979"/>
    </row>
    <row r="1138" spans="1:15">
      <c r="A1138" s="638" t="s">
        <v>752</v>
      </c>
      <c r="B1138" s="2050"/>
      <c r="C1138" s="2050"/>
      <c r="D1138" s="2050"/>
      <c r="E1138" s="2050"/>
      <c r="F1138" s="2050"/>
      <c r="G1138" s="2050"/>
      <c r="H1138" s="2050"/>
      <c r="I1138" s="2050"/>
      <c r="J1138" s="2050"/>
      <c r="K1138" s="2050"/>
      <c r="N1138" s="1979">
        <f>'Part VII-Pro Forma'!N123</f>
        <v>0</v>
      </c>
      <c r="O1138" s="1979"/>
    </row>
    <row r="1139" spans="1:15">
      <c r="A1139" s="638" t="s">
        <v>1150</v>
      </c>
      <c r="B1139" s="2050">
        <f>+K1109</f>
        <v>-10000</v>
      </c>
      <c r="C1139" s="2050">
        <f>+B1139</f>
        <v>-10000</v>
      </c>
      <c r="D1139" s="2050">
        <f>+C1139</f>
        <v>-10000</v>
      </c>
      <c r="E1139" s="2050">
        <f>+D1139</f>
        <v>-10000</v>
      </c>
      <c r="F1139" s="2050">
        <f>+E1139</f>
        <v>-10000</v>
      </c>
      <c r="G1139" s="2050"/>
      <c r="H1139" s="2050"/>
      <c r="I1139" s="2050"/>
      <c r="J1139" s="2050"/>
      <c r="K1139" s="2050"/>
      <c r="N1139" s="1979">
        <f>'Part VII-Pro Forma'!N124</f>
        <v>0</v>
      </c>
      <c r="O1139" s="1979"/>
    </row>
    <row r="1140" spans="1:15">
      <c r="A1140" s="638" t="s">
        <v>1151</v>
      </c>
      <c r="B1140" s="2050">
        <f>'Part VII-Pro Forma'!B125</f>
        <v>714.56870486953994</v>
      </c>
      <c r="C1140" s="2050">
        <f>'Part VII-Pro Forma'!C125</f>
        <v>-6289.2593033825979</v>
      </c>
      <c r="D1140" s="2050">
        <f>'Part VII-Pro Forma'!D125</f>
        <v>-13753.669719403872</v>
      </c>
      <c r="E1140" s="2050">
        <f>'Part VII-Pro Forma'!E125</f>
        <v>-21697.981966780644</v>
      </c>
      <c r="F1140" s="2050">
        <f>'Part VII-Pro Forma'!F125</f>
        <v>-30141.170690829662</v>
      </c>
      <c r="G1140" s="2050"/>
      <c r="H1140" s="2050"/>
      <c r="I1140" s="2050"/>
      <c r="J1140" s="2050"/>
      <c r="K1140" s="2050"/>
      <c r="N1140" s="1979">
        <f>'Part VII-Pro Forma'!N125</f>
        <v>0</v>
      </c>
      <c r="O1140" s="1979"/>
    </row>
    <row r="1141" spans="1:15">
      <c r="A1141" s="638" t="str">
        <f>$A1111</f>
        <v>DCR Mortgage A</v>
      </c>
      <c r="B1141" s="2051">
        <f>'Part VII-Pro Forma'!B126</f>
        <v>1.0615792397000656</v>
      </c>
      <c r="C1141" s="2051">
        <f>'Part VII-Pro Forma'!C126</f>
        <v>1.021326531857315</v>
      </c>
      <c r="D1141" s="2051">
        <f>'Part VII-Pro Forma'!D126</f>
        <v>0.97842674457806245</v>
      </c>
      <c r="E1141" s="2051">
        <f>'Part VII-Pro Forma'!E126</f>
        <v>0.93276884442282348</v>
      </c>
      <c r="F1141" s="2051">
        <f>'Part VII-Pro Forma'!F126</f>
        <v>0.88424377947692301</v>
      </c>
      <c r="G1141" s="2050"/>
      <c r="H1141" s="2050"/>
      <c r="I1141" s="2050"/>
      <c r="J1141" s="2050"/>
      <c r="K1141" s="2050"/>
      <c r="N1141" s="1979">
        <f>'Part VII-Pro Forma'!N126</f>
        <v>0</v>
      </c>
      <c r="O1141" s="1979"/>
    </row>
    <row r="1142" spans="1:15">
      <c r="A1142" s="638" t="str">
        <f>$A1112</f>
        <v>DCR Mortgage B</v>
      </c>
      <c r="B1142" s="2051" t="str">
        <f>'Part VII-Pro Forma'!B127</f>
        <v/>
      </c>
      <c r="C1142" s="2051" t="str">
        <f>'Part VII-Pro Forma'!C127</f>
        <v/>
      </c>
      <c r="D1142" s="2051" t="str">
        <f>'Part VII-Pro Forma'!D127</f>
        <v/>
      </c>
      <c r="E1142" s="2051" t="str">
        <f>'Part VII-Pro Forma'!E127</f>
        <v/>
      </c>
      <c r="F1142" s="2051" t="str">
        <f>'Part VII-Pro Forma'!F127</f>
        <v/>
      </c>
      <c r="G1142" s="2050"/>
      <c r="H1142" s="2050"/>
      <c r="I1142" s="2050"/>
      <c r="J1142" s="2050"/>
      <c r="K1142" s="2050"/>
      <c r="N1142" s="1979">
        <f>'Part VII-Pro Forma'!N127</f>
        <v>0</v>
      </c>
      <c r="O1142" s="1979"/>
    </row>
    <row r="1143" spans="1:15">
      <c r="A1143" s="638" t="str">
        <f>$A1113</f>
        <v>DCR Mortgage C</v>
      </c>
      <c r="B1143" s="2051" t="str">
        <f>'Part VII-Pro Forma'!B128</f>
        <v/>
      </c>
      <c r="C1143" s="2051" t="str">
        <f>'Part VII-Pro Forma'!C128</f>
        <v/>
      </c>
      <c r="D1143" s="2051" t="str">
        <f>'Part VII-Pro Forma'!D128</f>
        <v/>
      </c>
      <c r="E1143" s="2051" t="str">
        <f>'Part VII-Pro Forma'!E128</f>
        <v/>
      </c>
      <c r="F1143" s="2051" t="str">
        <f>'Part VII-Pro Forma'!F128</f>
        <v/>
      </c>
      <c r="G1143" s="2050"/>
      <c r="H1143" s="2050"/>
      <c r="I1143" s="2050"/>
      <c r="J1143" s="2050"/>
      <c r="K1143" s="2050"/>
      <c r="N1143" s="1979">
        <f>'Part VII-Pro Forma'!N128</f>
        <v>0</v>
      </c>
      <c r="O1143" s="1979"/>
    </row>
    <row r="1144" spans="1:15">
      <c r="A1144" s="638" t="str">
        <f>$A1114</f>
        <v>DCR Other Source</v>
      </c>
      <c r="B1144" s="2051" t="str">
        <f>'Part VII-Pro Forma'!B129</f>
        <v/>
      </c>
      <c r="C1144" s="2051" t="str">
        <f>'Part VII-Pro Forma'!C129</f>
        <v/>
      </c>
      <c r="D1144" s="2051" t="str">
        <f>'Part VII-Pro Forma'!D129</f>
        <v/>
      </c>
      <c r="E1144" s="2051" t="str">
        <f>'Part VII-Pro Forma'!E129</f>
        <v/>
      </c>
      <c r="F1144" s="2051" t="str">
        <f>'Part VII-Pro Forma'!F129</f>
        <v/>
      </c>
      <c r="G1144" s="2050"/>
      <c r="H1144" s="2050"/>
      <c r="I1144" s="2050"/>
      <c r="J1144" s="2050"/>
      <c r="K1144" s="2050"/>
      <c r="N1144" s="1979">
        <f>'Part VII-Pro Forma'!N129</f>
        <v>0</v>
      </c>
      <c r="O1144" s="1979"/>
    </row>
    <row r="1145" spans="1:15">
      <c r="A1145" s="638" t="s">
        <v>3611</v>
      </c>
      <c r="B1145" s="2051">
        <f>'Part VII-Pro Forma'!B130</f>
        <v>1.0615792397000656</v>
      </c>
      <c r="C1145" s="2051">
        <f>'Part VII-Pro Forma'!C130</f>
        <v>1.021326531857315</v>
      </c>
      <c r="D1145" s="2051">
        <f>'Part VII-Pro Forma'!D130</f>
        <v>0.97842674457806245</v>
      </c>
      <c r="E1145" s="2051">
        <f>'Part VII-Pro Forma'!E130</f>
        <v>0.93276884442282348</v>
      </c>
      <c r="F1145" s="2051">
        <f>'Part VII-Pro Forma'!F130</f>
        <v>0.88424377947692301</v>
      </c>
      <c r="G1145" s="2050"/>
      <c r="H1145" s="2050"/>
      <c r="I1145" s="2050"/>
      <c r="J1145" s="2050"/>
      <c r="K1145" s="2050"/>
      <c r="N1145" s="1979">
        <f>'Part VII-Pro Forma'!N130</f>
        <v>0</v>
      </c>
      <c r="O1145" s="1979"/>
    </row>
    <row r="1146" spans="1:15">
      <c r="A1146" s="638" t="s">
        <v>759</v>
      </c>
      <c r="B1146" s="2052">
        <f>'Part VII-Pro Forma'!B131</f>
        <v>1.1626296717283173</v>
      </c>
      <c r="C1146" s="2052">
        <f>'Part VII-Pro Forma'!C131</f>
        <v>1.1519916539841182</v>
      </c>
      <c r="D1146" s="2052">
        <f>'Part VII-Pro Forma'!D131</f>
        <v>1.141445493642868</v>
      </c>
      <c r="E1146" s="2052">
        <f>'Part VII-Pro Forma'!E131</f>
        <v>1.1309900359220058</v>
      </c>
      <c r="F1146" s="2052">
        <f>'Part VII-Pro Forma'!F131</f>
        <v>1.1206250849206028</v>
      </c>
      <c r="G1146" s="2050"/>
      <c r="H1146" s="2050"/>
      <c r="I1146" s="2050"/>
      <c r="J1146" s="2050"/>
      <c r="K1146" s="2050"/>
      <c r="N1146" s="1979">
        <f>'Part VII-Pro Forma'!N131</f>
        <v>0</v>
      </c>
      <c r="O1146" s="1979"/>
    </row>
    <row r="1147" spans="1:15">
      <c r="A1147" s="638" t="s">
        <v>2583</v>
      </c>
      <c r="B1147" s="2050">
        <f>'Part VII-Pro Forma'!B132</f>
        <v>611416.08306701877</v>
      </c>
      <c r="C1147" s="2050">
        <f>'Part VII-Pro Forma'!C132</f>
        <v>473088.9186942759</v>
      </c>
      <c r="D1147" s="2050">
        <f>'Part VII-Pro Forma'!D132</f>
        <v>325497.72794123017</v>
      </c>
      <c r="E1147" s="2050">
        <f>'Part VII-Pro Forma'!E132</f>
        <v>168022.08180419242</v>
      </c>
      <c r="F1147" s="2050">
        <f>'Part VII-Pro Forma'!F132</f>
        <v>6.0128513723611832E-8</v>
      </c>
      <c r="G1147" s="2050"/>
      <c r="H1147" s="2050"/>
      <c r="I1147" s="2050"/>
      <c r="J1147" s="2050"/>
      <c r="K1147" s="2050"/>
      <c r="N1147" s="1979">
        <f>'Part VII-Pro Forma'!N132</f>
        <v>0</v>
      </c>
      <c r="O1147" s="1979"/>
    </row>
    <row r="1148" spans="1:15">
      <c r="A1148" s="638" t="s">
        <v>2584</v>
      </c>
      <c r="B1148" s="2050">
        <f>'Part VII-Pro Forma'!B133</f>
        <v>573213.79010364937</v>
      </c>
      <c r="C1148" s="2050">
        <f>'Part VII-Pro Forma'!C133</f>
        <v>578972.27341902314</v>
      </c>
      <c r="D1148" s="2050">
        <f>'Part VII-Pro Forma'!D133</f>
        <v>584788.60623255267</v>
      </c>
      <c r="E1148" s="2050">
        <f>'Part VII-Pro Forma'!E133</f>
        <v>590663.36969803378</v>
      </c>
      <c r="F1148" s="2050">
        <f>'Part VII-Pro Forma'!F133</f>
        <v>596597.15080751048</v>
      </c>
      <c r="G1148" s="2050"/>
      <c r="H1148" s="2050"/>
      <c r="I1148" s="2050"/>
      <c r="J1148" s="2050"/>
      <c r="K1148" s="2050"/>
      <c r="N1148" s="1979">
        <f>'Part VII-Pro Forma'!N133</f>
        <v>0</v>
      </c>
      <c r="O1148" s="1979"/>
    </row>
    <row r="1149" spans="1:15">
      <c r="A1149" s="638" t="s">
        <v>2585</v>
      </c>
      <c r="B1149" s="2050" t="str">
        <f>'Part VII-Pro Forma'!B134</f>
        <v/>
      </c>
      <c r="C1149" s="2050" t="str">
        <f>'Part VII-Pro Forma'!C134</f>
        <v/>
      </c>
      <c r="D1149" s="2050" t="str">
        <f>'Part VII-Pro Forma'!D134</f>
        <v/>
      </c>
      <c r="E1149" s="2050" t="str">
        <f>'Part VII-Pro Forma'!E134</f>
        <v/>
      </c>
      <c r="F1149" s="2050" t="str">
        <f>'Part VII-Pro Forma'!F134</f>
        <v/>
      </c>
      <c r="G1149" s="2050"/>
      <c r="H1149" s="2050"/>
      <c r="I1149" s="2050"/>
      <c r="J1149" s="2050"/>
      <c r="K1149" s="2050"/>
      <c r="N1149" s="1979">
        <f>'Part VII-Pro Forma'!N134</f>
        <v>0</v>
      </c>
      <c r="O1149" s="1979"/>
    </row>
    <row r="1150" spans="1:15">
      <c r="A1150" s="638" t="s">
        <v>772</v>
      </c>
      <c r="B1150" s="2050" t="str">
        <f>'Part VII-Pro Forma'!B135</f>
        <v/>
      </c>
      <c r="C1150" s="2050" t="str">
        <f>'Part VII-Pro Forma'!C135</f>
        <v/>
      </c>
      <c r="D1150" s="2050" t="str">
        <f>'Part VII-Pro Forma'!D135</f>
        <v/>
      </c>
      <c r="E1150" s="2050" t="str">
        <f>'Part VII-Pro Forma'!E135</f>
        <v/>
      </c>
      <c r="F1150" s="2050" t="str">
        <f>'Part VII-Pro Forma'!F135</f>
        <v/>
      </c>
      <c r="G1150" s="2050"/>
      <c r="H1150" s="2050"/>
      <c r="I1150" s="2050"/>
      <c r="J1150" s="2050"/>
      <c r="K1150" s="2050"/>
      <c r="N1150" s="1979">
        <f>'Part VII-Pro Forma'!N135</f>
        <v>0</v>
      </c>
      <c r="O1150" s="1979"/>
    </row>
    <row r="1152" spans="1:15">
      <c r="A1152" s="638" t="s">
        <v>561</v>
      </c>
      <c r="G1152" s="638" t="s">
        <v>1018</v>
      </c>
    </row>
    <row r="1153" spans="1:19">
      <c r="B1153" s="1860"/>
    </row>
    <row r="1154" spans="1:19" ht="15.75" customHeight="1">
      <c r="A1154" s="1844" t="str">
        <f>'Part VII-Pro Forma'!A139</f>
        <v xml:space="preserve">The project meets DCA's requirement of a 1.20 debt coverage ratio for each year through Year 27.  The Asset Management fee reflected includes RBC's $7,500 and Invest Atlanta's $2,500 as described in the term sheets in Tab 1.  Additionally, the Invest Atlanta cash flow loan's debt service payment is shown as $36,547. </v>
      </c>
      <c r="B1154" s="1844"/>
      <c r="C1154" s="1844"/>
      <c r="D1154" s="1844"/>
      <c r="E1154" s="1844"/>
      <c r="F1154" s="1844"/>
      <c r="G1154" s="1844">
        <f>'Part VII-Pro Forma'!G139</f>
        <v>0</v>
      </c>
      <c r="H1154" s="1844"/>
      <c r="I1154" s="1844"/>
      <c r="J1154" s="1844"/>
      <c r="K1154" s="1844"/>
      <c r="N1154" s="1878" t="s">
        <v>2655</v>
      </c>
      <c r="O1154" s="1878"/>
    </row>
    <row r="1159" spans="1:19" ht="12.75" customHeight="1">
      <c r="A1159" s="1311" t="str">
        <f>CONCATENATE("PART EIGHT - THRESHOLD CRITERIA","  -  ",'Part I-Project Information'!$O$6," ",'Part I-Project Information'!$F$34,", ",'Part I-Project Information'!F1196,", ",'Part I-Project Information'!J1197," County")</f>
        <v>PART EIGHT - THRESHOLD CRITERIA  -  2019-063 Haven at South Atlanta, ,  County</v>
      </c>
      <c r="B1159" s="1311"/>
      <c r="C1159" s="1311"/>
      <c r="D1159" s="1311"/>
      <c r="E1159" s="1311"/>
      <c r="F1159" s="1311"/>
      <c r="G1159" s="1311"/>
      <c r="H1159" s="1311"/>
      <c r="I1159" s="1311"/>
      <c r="J1159" s="1311"/>
      <c r="K1159" s="1311"/>
      <c r="L1159" s="1311"/>
      <c r="M1159" s="1311"/>
      <c r="N1159" s="1311"/>
      <c r="O1159" s="1311"/>
      <c r="P1159" s="1311"/>
      <c r="Q1159" s="1311"/>
      <c r="R1159" s="1962" t="str">
        <f>'Part I-Project Information'!$B$6</f>
        <v>May 2019</v>
      </c>
      <c r="S1159" s="1962"/>
    </row>
    <row r="1160" spans="1:19">
      <c r="R1160" s="1962"/>
      <c r="S1160" s="1962"/>
    </row>
    <row r="1161" spans="1:19" ht="20.25" customHeight="1">
      <c r="A1161" s="2053" t="str">
        <f>'Part VIII-Threshold Criteria'!A3</f>
        <v>Preliminary Rating: Incomplete</v>
      </c>
      <c r="B1161" s="2053"/>
      <c r="C1161" s="2053"/>
      <c r="D1161" s="2053"/>
      <c r="E1161" s="2053"/>
      <c r="F1161" s="2053"/>
      <c r="G1161" s="2053"/>
      <c r="H1161" s="2053" t="str">
        <f>'Part VIII-Threshold Criteria'!H3</f>
        <v/>
      </c>
      <c r="I1161" s="2053"/>
      <c r="J1161" s="2053"/>
      <c r="K1161" s="2053"/>
      <c r="L1161" s="2053"/>
      <c r="M1161" s="2053"/>
      <c r="N1161" s="2053"/>
      <c r="O1161" s="2005" t="s">
        <v>922</v>
      </c>
      <c r="P1161" s="2005"/>
      <c r="Q1161" s="1966" t="s">
        <v>1818</v>
      </c>
      <c r="R1161" s="1962"/>
      <c r="S1161" s="1962"/>
    </row>
    <row r="1162" spans="1:19">
      <c r="A1162" s="1958"/>
      <c r="B1162" s="2054"/>
      <c r="C1162" s="2054"/>
      <c r="D1162" s="2054"/>
      <c r="E1162" s="1958"/>
      <c r="F1162" s="1958"/>
      <c r="G1162" s="1958"/>
      <c r="H1162" s="1958"/>
      <c r="I1162" s="1958"/>
      <c r="J1162" s="1958"/>
      <c r="K1162" s="1958"/>
      <c r="L1162" s="1958"/>
      <c r="M1162" s="1958"/>
      <c r="N1162" s="1958"/>
      <c r="P1162" s="1958"/>
      <c r="Q1162" s="1958"/>
      <c r="R1162" s="1962"/>
      <c r="S1162" s="1962"/>
    </row>
    <row r="1163" spans="1:19">
      <c r="A1163" s="1958"/>
      <c r="B1163" s="1958"/>
      <c r="C1163" s="1958"/>
      <c r="D1163" s="1958"/>
      <c r="E1163" s="1958"/>
      <c r="F1163" s="1958"/>
      <c r="G1163" s="1958"/>
      <c r="H1163" s="1958"/>
      <c r="I1163" s="1958"/>
      <c r="J1163" s="1958"/>
      <c r="K1163" s="1958"/>
      <c r="L1163" s="1958"/>
      <c r="M1163" s="1958"/>
      <c r="N1163" s="1958"/>
      <c r="P1163" s="1958"/>
      <c r="Q1163" s="1958"/>
      <c r="R1163" s="1962"/>
      <c r="S1163" s="1962"/>
    </row>
    <row r="1164" spans="1:19" ht="18" customHeight="1">
      <c r="A1164" s="2055" t="s">
        <v>557</v>
      </c>
      <c r="J1164" s="2056" t="s">
        <v>5053</v>
      </c>
      <c r="K1164" s="2056"/>
      <c r="L1164" s="2056"/>
      <c r="M1164" s="2056"/>
      <c r="N1164" s="2056"/>
      <c r="O1164" s="2056"/>
      <c r="P1164" s="2057"/>
      <c r="Q1164" s="2057"/>
      <c r="R1164" s="1962"/>
      <c r="S1164" s="1962"/>
    </row>
    <row r="1165" spans="1:19">
      <c r="A1165" s="2058" t="s">
        <v>3386</v>
      </c>
      <c r="H1165" s="1311"/>
      <c r="I1165" s="1311"/>
      <c r="J1165" s="1311"/>
      <c r="K1165" s="1311"/>
      <c r="L1165" s="1311"/>
      <c r="M1165" s="1958"/>
      <c r="N1165" s="1958"/>
    </row>
    <row r="1166" spans="1:19" ht="12.75" customHeight="1">
      <c r="A1166" s="1852" t="s">
        <v>1393</v>
      </c>
      <c r="B1166" s="1852"/>
      <c r="C1166" s="1852"/>
      <c r="D1166" s="1852"/>
      <c r="E1166" s="1852"/>
      <c r="F1166" s="1852"/>
      <c r="G1166" s="1852"/>
      <c r="H1166" s="1852"/>
      <c r="I1166" s="1852"/>
      <c r="J1166" s="1852"/>
      <c r="K1166" s="1852"/>
      <c r="L1166" s="1852"/>
      <c r="M1166" s="1852"/>
      <c r="N1166" s="1852"/>
      <c r="O1166" s="1852"/>
      <c r="P1166" s="1852"/>
      <c r="Q1166" s="1852"/>
      <c r="R1166" s="1878" t="s">
        <v>2005</v>
      </c>
      <c r="S1166" s="1878"/>
    </row>
    <row r="1167" spans="1:19" ht="12.75" customHeight="1">
      <c r="A1167" s="1852" t="s">
        <v>223</v>
      </c>
      <c r="B1167" s="1852"/>
      <c r="C1167" s="1852"/>
      <c r="D1167" s="1852"/>
      <c r="E1167" s="1852"/>
      <c r="F1167" s="1852"/>
      <c r="G1167" s="1852"/>
      <c r="H1167" s="1852"/>
      <c r="I1167" s="1852"/>
      <c r="J1167" s="1852"/>
      <c r="K1167" s="1852"/>
      <c r="L1167" s="1852"/>
      <c r="M1167" s="1852"/>
      <c r="N1167" s="1852"/>
      <c r="O1167" s="1852"/>
      <c r="P1167" s="1852"/>
      <c r="Q1167" s="1852"/>
      <c r="R1167" s="1878"/>
      <c r="S1167" s="1878"/>
    </row>
    <row r="1168" spans="1:19" ht="12.75" customHeight="1">
      <c r="A1168" s="1852" t="s">
        <v>1389</v>
      </c>
      <c r="B1168" s="1852"/>
      <c r="C1168" s="1852"/>
      <c r="D1168" s="1852"/>
      <c r="E1168" s="1852"/>
      <c r="F1168" s="1852"/>
      <c r="G1168" s="1852"/>
      <c r="H1168" s="1852"/>
      <c r="I1168" s="1852"/>
      <c r="J1168" s="1852"/>
      <c r="K1168" s="1852"/>
      <c r="L1168" s="1852"/>
      <c r="M1168" s="1852"/>
      <c r="N1168" s="1852"/>
      <c r="O1168" s="1852"/>
      <c r="P1168" s="1852"/>
      <c r="Q1168" s="1852"/>
      <c r="R1168" s="1878"/>
      <c r="S1168" s="1878"/>
    </row>
    <row r="1169" spans="1:19" ht="12.75" customHeight="1">
      <c r="A1169" s="1852" t="s">
        <v>1390</v>
      </c>
      <c r="B1169" s="1852"/>
      <c r="C1169" s="1852"/>
      <c r="D1169" s="1852"/>
      <c r="E1169" s="1852"/>
      <c r="F1169" s="1852"/>
      <c r="G1169" s="1852"/>
      <c r="H1169" s="1852"/>
      <c r="I1169" s="1852"/>
      <c r="J1169" s="1852"/>
      <c r="K1169" s="1852"/>
      <c r="L1169" s="1852"/>
      <c r="M1169" s="1852"/>
      <c r="N1169" s="1852"/>
      <c r="O1169" s="1852"/>
      <c r="P1169" s="1852"/>
      <c r="Q1169" s="1852"/>
      <c r="R1169" s="1878"/>
      <c r="S1169" s="1878"/>
    </row>
    <row r="1170" spans="1:19" ht="15">
      <c r="A1170" s="1852" t="s">
        <v>1391</v>
      </c>
      <c r="B1170" s="1852"/>
      <c r="C1170" s="1852"/>
      <c r="D1170" s="1852"/>
      <c r="E1170" s="1852"/>
      <c r="F1170" s="1852"/>
      <c r="G1170" s="1852"/>
      <c r="H1170" s="1852"/>
      <c r="I1170" s="1852"/>
      <c r="J1170" s="1852"/>
      <c r="K1170" s="1852"/>
      <c r="L1170" s="1852"/>
      <c r="M1170" s="1852"/>
      <c r="N1170" s="1852"/>
      <c r="O1170" s="1852"/>
      <c r="P1170" s="1852"/>
      <c r="Q1170" s="1852"/>
      <c r="R1170" s="2059"/>
      <c r="S1170" s="2059"/>
    </row>
    <row r="1171" spans="1:19" ht="15">
      <c r="A1171" s="1852" t="s">
        <v>1392</v>
      </c>
      <c r="B1171" s="1852"/>
      <c r="C1171" s="1852"/>
      <c r="D1171" s="1852"/>
      <c r="E1171" s="1852"/>
      <c r="F1171" s="1852"/>
      <c r="G1171" s="1852"/>
      <c r="H1171" s="1852"/>
      <c r="I1171" s="1852"/>
      <c r="J1171" s="1852"/>
      <c r="K1171" s="1852"/>
      <c r="L1171" s="1852"/>
      <c r="M1171" s="1852"/>
      <c r="N1171" s="1852"/>
      <c r="O1171" s="1852"/>
      <c r="P1171" s="1852"/>
      <c r="Q1171" s="1852"/>
      <c r="R1171" s="2059"/>
      <c r="S1171" s="2059"/>
    </row>
    <row r="1172" spans="1:19">
      <c r="A1172" s="1852" t="s">
        <v>1394</v>
      </c>
      <c r="B1172" s="1852"/>
      <c r="C1172" s="1852"/>
      <c r="D1172" s="1852"/>
      <c r="E1172" s="1852"/>
      <c r="F1172" s="1852"/>
      <c r="G1172" s="1852"/>
      <c r="H1172" s="1852"/>
      <c r="I1172" s="1852"/>
      <c r="J1172" s="1852"/>
      <c r="K1172" s="1852"/>
      <c r="L1172" s="1852"/>
      <c r="M1172" s="1852"/>
      <c r="N1172" s="1852"/>
      <c r="O1172" s="1852"/>
      <c r="P1172" s="1852"/>
      <c r="Q1172" s="1852"/>
    </row>
    <row r="1173" spans="1:19" ht="12.75" customHeight="1">
      <c r="A1173" s="1852" t="s">
        <v>1992</v>
      </c>
      <c r="B1173" s="1852"/>
      <c r="C1173" s="1852"/>
      <c r="D1173" s="1852"/>
      <c r="E1173" s="1852"/>
      <c r="F1173" s="1852"/>
      <c r="G1173" s="1852"/>
      <c r="H1173" s="1852"/>
      <c r="I1173" s="1852"/>
      <c r="J1173" s="1852"/>
      <c r="K1173" s="1852"/>
      <c r="L1173" s="1852"/>
      <c r="M1173" s="1852"/>
      <c r="N1173" s="1852"/>
      <c r="O1173" s="1852"/>
      <c r="P1173" s="1852"/>
      <c r="Q1173" s="1852"/>
      <c r="R1173" s="1878" t="s">
        <v>2005</v>
      </c>
      <c r="S1173" s="1878"/>
    </row>
    <row r="1174" spans="1:19" ht="12.75" customHeight="1">
      <c r="A1174" s="1852" t="s">
        <v>1993</v>
      </c>
      <c r="B1174" s="1852"/>
      <c r="C1174" s="1852"/>
      <c r="D1174" s="1852"/>
      <c r="E1174" s="1852"/>
      <c r="F1174" s="1852"/>
      <c r="G1174" s="1852"/>
      <c r="H1174" s="1852"/>
      <c r="I1174" s="1852"/>
      <c r="J1174" s="1852"/>
      <c r="K1174" s="1852"/>
      <c r="L1174" s="1852"/>
      <c r="M1174" s="1852"/>
      <c r="N1174" s="1852"/>
      <c r="O1174" s="1852"/>
      <c r="P1174" s="1852"/>
      <c r="Q1174" s="1852"/>
      <c r="R1174" s="1878"/>
      <c r="S1174" s="1878"/>
    </row>
    <row r="1175" spans="1:19" ht="12.75" customHeight="1">
      <c r="A1175" s="1852" t="s">
        <v>1994</v>
      </c>
      <c r="B1175" s="1852"/>
      <c r="C1175" s="1852"/>
      <c r="D1175" s="1852"/>
      <c r="E1175" s="1852"/>
      <c r="F1175" s="1852"/>
      <c r="G1175" s="1852"/>
      <c r="H1175" s="1852"/>
      <c r="I1175" s="1852"/>
      <c r="J1175" s="1852"/>
      <c r="K1175" s="1852"/>
      <c r="L1175" s="1852"/>
      <c r="M1175" s="1852"/>
      <c r="N1175" s="1852"/>
      <c r="O1175" s="1852"/>
      <c r="P1175" s="1852"/>
      <c r="Q1175" s="1852"/>
      <c r="R1175" s="1878"/>
      <c r="S1175" s="1878"/>
    </row>
    <row r="1176" spans="1:19" ht="12.75" customHeight="1">
      <c r="A1176" s="1852" t="s">
        <v>1995</v>
      </c>
      <c r="B1176" s="1852"/>
      <c r="C1176" s="1852"/>
      <c r="D1176" s="1852"/>
      <c r="E1176" s="1852"/>
      <c r="F1176" s="1852"/>
      <c r="G1176" s="1852"/>
      <c r="H1176" s="1852"/>
      <c r="I1176" s="1852"/>
      <c r="J1176" s="1852"/>
      <c r="K1176" s="1852"/>
      <c r="L1176" s="1852"/>
      <c r="M1176" s="1852"/>
      <c r="N1176" s="1852"/>
      <c r="O1176" s="1852"/>
      <c r="P1176" s="1852"/>
      <c r="Q1176" s="1852"/>
      <c r="R1176" s="1878"/>
      <c r="S1176" s="1878"/>
    </row>
    <row r="1177" spans="1:19" ht="12.75" customHeight="1">
      <c r="A1177" s="1852" t="s">
        <v>1996</v>
      </c>
      <c r="B1177" s="1852"/>
      <c r="C1177" s="1852"/>
      <c r="D1177" s="1852"/>
      <c r="E1177" s="1852"/>
      <c r="F1177" s="1852"/>
      <c r="G1177" s="1852"/>
      <c r="H1177" s="1852"/>
      <c r="I1177" s="1852"/>
      <c r="J1177" s="1852"/>
      <c r="K1177" s="1852"/>
      <c r="L1177" s="1852"/>
      <c r="M1177" s="1852"/>
      <c r="N1177" s="1852"/>
      <c r="O1177" s="1852"/>
      <c r="P1177" s="1852"/>
      <c r="Q1177" s="1852"/>
      <c r="R1177" s="1878"/>
      <c r="S1177" s="1878"/>
    </row>
    <row r="1178" spans="1:19" ht="12.75" customHeight="1">
      <c r="A1178" s="1852" t="s">
        <v>1997</v>
      </c>
      <c r="B1178" s="1852"/>
      <c r="C1178" s="1852"/>
      <c r="D1178" s="1852"/>
      <c r="E1178" s="1852"/>
      <c r="F1178" s="1852"/>
      <c r="G1178" s="1852"/>
      <c r="H1178" s="1852"/>
      <c r="I1178" s="1852"/>
      <c r="J1178" s="1852"/>
      <c r="K1178" s="1852"/>
      <c r="L1178" s="1852"/>
      <c r="M1178" s="1852"/>
      <c r="N1178" s="1852"/>
      <c r="O1178" s="1852"/>
      <c r="P1178" s="1852"/>
      <c r="Q1178" s="1852"/>
      <c r="R1178" s="1878"/>
      <c r="S1178" s="1878"/>
    </row>
    <row r="1179" spans="1:19">
      <c r="A1179" s="1852" t="s">
        <v>1998</v>
      </c>
      <c r="B1179" s="1852"/>
      <c r="C1179" s="1852"/>
      <c r="D1179" s="1852"/>
      <c r="E1179" s="1852"/>
      <c r="F1179" s="1852"/>
      <c r="G1179" s="1852"/>
      <c r="H1179" s="1852"/>
      <c r="I1179" s="1852"/>
      <c r="J1179" s="1852"/>
      <c r="K1179" s="1852"/>
      <c r="L1179" s="1852"/>
      <c r="M1179" s="1852"/>
      <c r="N1179" s="1852"/>
      <c r="O1179" s="1852"/>
      <c r="P1179" s="1852"/>
      <c r="Q1179" s="1852"/>
    </row>
    <row r="1180" spans="1:19" ht="12.75" customHeight="1">
      <c r="A1180" s="1852" t="s">
        <v>1999</v>
      </c>
      <c r="B1180" s="1852"/>
      <c r="C1180" s="1852"/>
      <c r="D1180" s="1852"/>
      <c r="E1180" s="1852"/>
      <c r="F1180" s="1852"/>
      <c r="G1180" s="1852"/>
      <c r="H1180" s="1852"/>
      <c r="I1180" s="1852"/>
      <c r="J1180" s="1852"/>
      <c r="K1180" s="1852"/>
      <c r="L1180" s="1852"/>
      <c r="M1180" s="1852"/>
      <c r="N1180" s="1852"/>
      <c r="O1180" s="1852"/>
      <c r="P1180" s="1852"/>
      <c r="Q1180" s="1852"/>
      <c r="R1180" s="1878" t="s">
        <v>2005</v>
      </c>
      <c r="S1180" s="1878"/>
    </row>
    <row r="1181" spans="1:19" ht="12.75" customHeight="1">
      <c r="A1181" s="1852" t="s">
        <v>2000</v>
      </c>
      <c r="B1181" s="1852"/>
      <c r="C1181" s="1852"/>
      <c r="D1181" s="1852"/>
      <c r="E1181" s="1852"/>
      <c r="F1181" s="1852"/>
      <c r="G1181" s="1852"/>
      <c r="H1181" s="1852"/>
      <c r="I1181" s="1852"/>
      <c r="J1181" s="1852"/>
      <c r="K1181" s="1852"/>
      <c r="L1181" s="1852"/>
      <c r="M1181" s="1852"/>
      <c r="N1181" s="1852"/>
      <c r="O1181" s="1852"/>
      <c r="P1181" s="1852"/>
      <c r="Q1181" s="1852"/>
      <c r="R1181" s="1878"/>
      <c r="S1181" s="1878"/>
    </row>
    <row r="1182" spans="1:19" ht="12.75" customHeight="1">
      <c r="A1182" s="1852" t="s">
        <v>2001</v>
      </c>
      <c r="B1182" s="1852"/>
      <c r="C1182" s="1852"/>
      <c r="D1182" s="1852"/>
      <c r="E1182" s="1852"/>
      <c r="F1182" s="1852"/>
      <c r="G1182" s="1852"/>
      <c r="H1182" s="1852"/>
      <c r="I1182" s="1852"/>
      <c r="J1182" s="1852"/>
      <c r="K1182" s="1852"/>
      <c r="L1182" s="1852"/>
      <c r="M1182" s="1852"/>
      <c r="N1182" s="1852"/>
      <c r="O1182" s="1852"/>
      <c r="P1182" s="1852"/>
      <c r="Q1182" s="1852"/>
      <c r="R1182" s="1878"/>
      <c r="S1182" s="1878"/>
    </row>
    <row r="1183" spans="1:19" ht="12.75" customHeight="1">
      <c r="A1183" s="1852" t="s">
        <v>2002</v>
      </c>
      <c r="B1183" s="1852"/>
      <c r="C1183" s="1852"/>
      <c r="D1183" s="1852"/>
      <c r="E1183" s="1852"/>
      <c r="F1183" s="1852"/>
      <c r="G1183" s="1852"/>
      <c r="H1183" s="1852"/>
      <c r="I1183" s="1852"/>
      <c r="J1183" s="1852"/>
      <c r="K1183" s="1852"/>
      <c r="L1183" s="1852"/>
      <c r="M1183" s="1852"/>
      <c r="N1183" s="1852"/>
      <c r="O1183" s="1852"/>
      <c r="P1183" s="1852"/>
      <c r="Q1183" s="1852"/>
      <c r="R1183" s="1878"/>
      <c r="S1183" s="1878"/>
    </row>
    <row r="1184" spans="1:19" ht="12.75" customHeight="1">
      <c r="A1184" s="1852" t="s">
        <v>2003</v>
      </c>
      <c r="B1184" s="1852"/>
      <c r="C1184" s="1852"/>
      <c r="D1184" s="1852"/>
      <c r="E1184" s="1852"/>
      <c r="F1184" s="1852"/>
      <c r="G1184" s="1852"/>
      <c r="H1184" s="1852"/>
      <c r="I1184" s="1852"/>
      <c r="J1184" s="1852"/>
      <c r="K1184" s="1852"/>
      <c r="L1184" s="1852"/>
      <c r="M1184" s="1852"/>
      <c r="N1184" s="1852"/>
      <c r="O1184" s="1852"/>
      <c r="P1184" s="1852"/>
      <c r="Q1184" s="1852"/>
      <c r="R1184" s="1878"/>
      <c r="S1184" s="1878"/>
    </row>
    <row r="1185" spans="1:22" ht="12.75" customHeight="1">
      <c r="A1185" s="1852" t="s">
        <v>2004</v>
      </c>
      <c r="B1185" s="1852"/>
      <c r="C1185" s="1852"/>
      <c r="D1185" s="1852"/>
      <c r="E1185" s="1852"/>
      <c r="F1185" s="1852"/>
      <c r="G1185" s="1852"/>
      <c r="H1185" s="1852"/>
      <c r="I1185" s="1852"/>
      <c r="J1185" s="1852"/>
      <c r="K1185" s="1852"/>
      <c r="L1185" s="1852"/>
      <c r="M1185" s="1852"/>
      <c r="N1185" s="1852"/>
      <c r="O1185" s="1852"/>
      <c r="P1185" s="1852"/>
      <c r="Q1185" s="1852"/>
      <c r="R1185" s="1878"/>
      <c r="S1185" s="1878"/>
    </row>
    <row r="1187" spans="1:22">
      <c r="A1187" s="2060" t="s">
        <v>605</v>
      </c>
      <c r="B1187" s="2006" t="s">
        <v>2614</v>
      </c>
      <c r="C1187" s="2061"/>
      <c r="D1187" s="457"/>
      <c r="E1187" s="457"/>
      <c r="F1187" s="457"/>
      <c r="G1187" s="457"/>
      <c r="I1187" s="1314"/>
      <c r="J1187" s="1314"/>
      <c r="K1187" s="1314"/>
      <c r="L1187" s="1958"/>
      <c r="M1187" s="1958"/>
      <c r="O1187" s="2062" t="s">
        <v>1842</v>
      </c>
      <c r="P1187" s="1957"/>
      <c r="Q1187" s="1957"/>
    </row>
    <row r="1189" spans="1:22" ht="20.399999999999999">
      <c r="B1189" s="1997" t="s">
        <v>3644</v>
      </c>
      <c r="C1189" s="1997"/>
      <c r="D1189" s="1997"/>
      <c r="E1189" s="1997"/>
      <c r="F1189" s="1997"/>
      <c r="G1189" s="1314"/>
      <c r="H1189" s="1314"/>
      <c r="I1189" s="1314"/>
      <c r="J1189" s="1314"/>
      <c r="K1189" s="1958"/>
      <c r="L1189" s="1958"/>
      <c r="M1189" s="1958"/>
      <c r="N1189" s="1958"/>
      <c r="O1189" s="1958"/>
      <c r="P1189" s="1958"/>
      <c r="S1189" s="2063"/>
      <c r="T1189" s="2063"/>
    </row>
    <row r="1190" spans="1:22" ht="409.6">
      <c r="A1190" s="2064" t="str">
        <f>'Part VIII-Threshold Criteria'!A32</f>
        <v xml:space="preserve">The Applicant has submitted a proposal which conforms to the 2019 QAP.   All costs for Development and Construction have been carefully underwritten by experienced estimators.  Federal ($0.88) and State ($0.55) equity pricing are competitive and verified with experienced Investors and are appropriate for their yields.  Operating Costs have been proposed by an experienced Management Company, which has operated comparable properties at these expesnes.  Rents have been set at the allowable rents per DCA instructions and the most current utility allowances from The Atlanta Housing Authority have been utilized. Total Developer Fee is within 2019 QAP limits.  </v>
      </c>
      <c r="B1190" s="2064"/>
      <c r="C1190" s="2064"/>
      <c r="D1190" s="2064"/>
      <c r="E1190" s="2064"/>
      <c r="F1190" s="2064"/>
      <c r="G1190" s="2064"/>
      <c r="H1190" s="2064"/>
      <c r="I1190" s="2064"/>
      <c r="J1190" s="2064"/>
      <c r="K1190" s="2064"/>
      <c r="L1190" s="2064"/>
      <c r="M1190" s="2064"/>
      <c r="N1190" s="2064"/>
      <c r="O1190" s="2064"/>
      <c r="P1190" s="2064"/>
      <c r="Q1190" s="2064"/>
      <c r="R1190" s="2065" t="s">
        <v>1239</v>
      </c>
      <c r="S1190" s="2065"/>
      <c r="T1190" s="2063"/>
      <c r="U1190" s="1957"/>
      <c r="V1190" s="1957"/>
    </row>
    <row r="1191" spans="1:22">
      <c r="B1191" s="2066" t="s">
        <v>1841</v>
      </c>
      <c r="C1191" s="2067"/>
      <c r="D1191" s="2068"/>
      <c r="E1191" s="2068"/>
      <c r="F1191" s="2068"/>
      <c r="G1191" s="2068"/>
      <c r="H1191" s="2068"/>
      <c r="I1191" s="2068"/>
      <c r="J1191" s="2068"/>
      <c r="K1191" s="2068"/>
      <c r="L1191" s="2068"/>
      <c r="M1191" s="2068"/>
      <c r="N1191" s="2068"/>
      <c r="O1191" s="2068"/>
      <c r="P1191" s="2068"/>
    </row>
    <row r="1192" spans="1:22" ht="15">
      <c r="A1192" s="2064">
        <f>'Part VIII-Threshold Criteria'!A34</f>
        <v>0</v>
      </c>
      <c r="B1192" s="2064"/>
      <c r="C1192" s="2064"/>
      <c r="D1192" s="2064"/>
      <c r="E1192" s="2064"/>
      <c r="F1192" s="2064"/>
      <c r="G1192" s="2064"/>
      <c r="H1192" s="2064"/>
      <c r="I1192" s="2064"/>
      <c r="J1192" s="2064"/>
      <c r="K1192" s="2064"/>
      <c r="L1192" s="2064"/>
      <c r="M1192" s="2064"/>
      <c r="N1192" s="2064"/>
      <c r="O1192" s="2064"/>
      <c r="P1192" s="2064"/>
      <c r="Q1192" s="2064"/>
      <c r="R1192" s="2065" t="s">
        <v>1239</v>
      </c>
      <c r="S1192" s="2065"/>
    </row>
    <row r="1193" spans="1:22">
      <c r="B1193" s="1314"/>
      <c r="C1193" s="2068"/>
      <c r="D1193" s="2068"/>
      <c r="E1193" s="2068"/>
      <c r="F1193" s="2068"/>
      <c r="G1193" s="2068"/>
      <c r="H1193" s="2068"/>
      <c r="I1193" s="2068"/>
      <c r="J1193" s="2068"/>
      <c r="K1193" s="2068"/>
      <c r="L1193" s="2068"/>
      <c r="M1193" s="2068"/>
      <c r="N1193" s="2068"/>
      <c r="O1193" s="2068"/>
      <c r="P1193" s="2068"/>
      <c r="Q1193" s="1958"/>
    </row>
    <row r="1194" spans="1:22">
      <c r="A1194" s="1949" t="s">
        <v>729</v>
      </c>
      <c r="B1194" s="1311" t="s">
        <v>2672</v>
      </c>
      <c r="C1194" s="1311"/>
      <c r="D1194" s="1311"/>
      <c r="E1194" s="2068"/>
      <c r="G1194" s="1957"/>
      <c r="H1194" s="1957"/>
      <c r="I1194" s="1957"/>
      <c r="J1194" s="1311"/>
      <c r="L1194" s="2040"/>
      <c r="M1194" s="2040"/>
      <c r="N1194" s="2040"/>
      <c r="O1194" s="2062" t="s">
        <v>1842</v>
      </c>
      <c r="P1194" s="1957"/>
      <c r="Q1194" s="1957"/>
    </row>
    <row r="1195" spans="1:22">
      <c r="A1195" s="2069"/>
      <c r="B1195" s="2069"/>
      <c r="C1195" s="2069"/>
      <c r="D1195" s="2069"/>
      <c r="E1195" s="2069"/>
      <c r="F1195" s="2069"/>
      <c r="G1195" s="1786" t="s">
        <v>2676</v>
      </c>
      <c r="H1195" s="1786"/>
      <c r="I1195" s="457"/>
      <c r="J1195" s="1311"/>
      <c r="K1195" s="457" t="s">
        <v>3541</v>
      </c>
      <c r="L1195" s="457"/>
      <c r="M1195" s="457"/>
      <c r="N1195" s="457"/>
    </row>
    <row r="1196" spans="1:22">
      <c r="A1196" s="2069"/>
      <c r="B1196" s="2069"/>
      <c r="C1196" s="2069"/>
      <c r="D1196" s="2069"/>
      <c r="E1196" s="2069"/>
      <c r="F1196" s="2069"/>
      <c r="G1196" s="1786" t="s">
        <v>343</v>
      </c>
      <c r="H1196" s="1786"/>
      <c r="I1196" s="457"/>
      <c r="J1196" s="1311"/>
      <c r="K1196" s="457" t="s">
        <v>3542</v>
      </c>
      <c r="L1196" s="457"/>
      <c r="M1196" s="457"/>
      <c r="N1196" s="457"/>
      <c r="P1196" s="1903" t="s">
        <v>2691</v>
      </c>
      <c r="Q1196" s="1314">
        <f>'Part VIII-Threshold Criteria'!Q38</f>
        <v>0</v>
      </c>
    </row>
    <row r="1197" spans="1:22">
      <c r="A1197" s="2069"/>
      <c r="B1197" s="2069"/>
      <c r="C1197" s="2069"/>
      <c r="D1197" s="2069"/>
      <c r="E1197" s="2069"/>
      <c r="F1197" s="2069"/>
      <c r="G1197" s="457"/>
      <c r="H1197" s="457"/>
      <c r="I1197" s="457"/>
      <c r="J1197" s="1311"/>
      <c r="K1197" s="457"/>
      <c r="L1197" s="457"/>
      <c r="M1197" s="457"/>
      <c r="N1197" s="457"/>
    </row>
    <row r="1198" spans="1:22" ht="13.5" customHeight="1">
      <c r="D1198" s="2070" t="s">
        <v>2675</v>
      </c>
      <c r="F1198" s="2071" t="s">
        <v>3387</v>
      </c>
      <c r="G1198" s="2071" t="s">
        <v>4708</v>
      </c>
      <c r="H1198" s="2071"/>
      <c r="I1198" s="2071"/>
      <c r="K1198" s="2071" t="s">
        <v>3387</v>
      </c>
      <c r="L1198" s="2071" t="s">
        <v>4707</v>
      </c>
      <c r="M1198" s="2071"/>
      <c r="N1198" s="2071"/>
      <c r="R1198" s="1956"/>
      <c r="V1198" s="1311"/>
    </row>
    <row r="1199" spans="1:22" ht="12.75" customHeight="1">
      <c r="A1199" s="1852" t="s">
        <v>3301</v>
      </c>
      <c r="B1199" s="1852"/>
      <c r="C1199" s="1852"/>
      <c r="D1199" s="2072" t="s">
        <v>558</v>
      </c>
      <c r="E1199" s="1314">
        <v>0</v>
      </c>
      <c r="F1199" s="2073" t="str">
        <f>IF('Part VI-Revenues &amp; Expenses'!$J$135 =0,"",'Part VI-Revenues &amp; Expenses'!$J$135)</f>
        <v/>
      </c>
      <c r="G1199" s="2074">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2009" t="str">
        <f>CONCATENATE("x ", F1199," units = ")</f>
        <v xml:space="preserve">x  units = </v>
      </c>
      <c r="I1199" s="2075" t="str">
        <f>IF(F1199="","",F1199*G1199)</f>
        <v/>
      </c>
      <c r="J1199" s="1311"/>
      <c r="K1199" s="2073" t="str">
        <f>IF('Part VI-Revenues &amp; Expenses'!$J$136 =0,"",'Part VI-Revenues &amp; Expenses'!$J$136)</f>
        <v/>
      </c>
      <c r="L1199" s="2074">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2009" t="str">
        <f>CONCATENATE("x ", K1199," units = ")</f>
        <v xml:space="preserve">x  units = </v>
      </c>
      <c r="N1199" s="2075" t="str">
        <f>IF(K1199="","",K1199*L1199)</f>
        <v/>
      </c>
      <c r="O1199" s="2068"/>
      <c r="P1199" s="1894" t="s">
        <v>3756</v>
      </c>
      <c r="Q1199" s="1894"/>
      <c r="R1199" s="1956"/>
      <c r="V1199" s="1311"/>
    </row>
    <row r="1200" spans="1:22" ht="12.75" customHeight="1">
      <c r="A1200" s="1852"/>
      <c r="B1200" s="1852"/>
      <c r="C1200" s="1852"/>
      <c r="D1200" s="2072" t="s">
        <v>2408</v>
      </c>
      <c r="E1200" s="1314">
        <v>1</v>
      </c>
      <c r="F1200" s="2073" t="str">
        <f>IF('Part VI-Revenues &amp; Expenses'!$K$135 =0,"",'Part VI-Revenues &amp; Expenses'!$K$135)</f>
        <v/>
      </c>
      <c r="G1200" s="2074">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2009" t="str">
        <f>CONCATENATE("x ", F1200," units = ")</f>
        <v xml:space="preserve">x  units = </v>
      </c>
      <c r="I1200" s="2075" t="str">
        <f>IF(F1200="","",F1200*G1200)</f>
        <v/>
      </c>
      <c r="J1200" s="1311"/>
      <c r="K1200" s="2073" t="str">
        <f>IF('Part VI-Revenues &amp; Expenses'!$K$136 =0,"",'Part VI-Revenues &amp; Expenses'!$K$136)</f>
        <v/>
      </c>
      <c r="L1200" s="2074">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2009" t="str">
        <f>CONCATENATE("x ", K1200," units = ")</f>
        <v xml:space="preserve">x  units = </v>
      </c>
      <c r="N1200" s="2075" t="str">
        <f>IF(K1200="","",K1200*L1200)</f>
        <v/>
      </c>
      <c r="O1200" s="2068"/>
      <c r="P1200" s="1962" t="str">
        <f>IF('Part I-Project Information'!$F$38="","",VLOOKUP('Part I-Project Information'!$J$39,'DCA Underwriting Assumptions'!$G$158:$N$317,8,FALSE))</f>
        <v>Atlanta</v>
      </c>
      <c r="Q1200" s="1962"/>
      <c r="R1200" s="1956"/>
    </row>
    <row r="1201" spans="1:22">
      <c r="A1201" s="1852"/>
      <c r="B1201" s="1852"/>
      <c r="C1201" s="1852"/>
      <c r="D1201" s="2072" t="s">
        <v>2409</v>
      </c>
      <c r="E1201" s="1314">
        <v>2</v>
      </c>
      <c r="F1201" s="2073" t="str">
        <f>IF('Part VI-Revenues &amp; Expenses'!$L$135 =0,"",'Part VI-Revenues &amp; Expenses'!$L$135)</f>
        <v/>
      </c>
      <c r="G1201" s="2074">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2009" t="str">
        <f>CONCATENATE("x ", F1201," units = ")</f>
        <v xml:space="preserve">x  units = </v>
      </c>
      <c r="I1201" s="2075" t="str">
        <f t="shared" ref="I1201:I1203" si="372">IF(F1201="","",F1201*G1201)</f>
        <v/>
      </c>
      <c r="J1201" s="1311"/>
      <c r="K1201" s="2073" t="str">
        <f>IF('Part VI-Revenues &amp; Expenses'!$L$136 =0,"",'Part VI-Revenues &amp; Expenses'!$L$136)</f>
        <v/>
      </c>
      <c r="L1201" s="2074">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2009" t="str">
        <f>CONCATENATE("x ", K1201," units = ")</f>
        <v xml:space="preserve">x  units = </v>
      </c>
      <c r="N1201" s="2075" t="str">
        <f t="shared" ref="N1201:N1203" si="373">IF(K1201="","",K1201*L1201)</f>
        <v/>
      </c>
      <c r="O1201" s="2068"/>
      <c r="P1201" s="1962"/>
      <c r="Q1201" s="1962"/>
    </row>
    <row r="1202" spans="1:22" ht="12.75" customHeight="1">
      <c r="A1202" s="1852"/>
      <c r="B1202" s="1852"/>
      <c r="C1202" s="1852"/>
      <c r="D1202" s="2072" t="s">
        <v>2410</v>
      </c>
      <c r="E1202" s="1314">
        <v>3</v>
      </c>
      <c r="F1202" s="2073" t="str">
        <f>IF('Part VI-Revenues &amp; Expenses'!$M$135 =0,"",'Part VI-Revenues &amp; Expenses'!$M$135)</f>
        <v/>
      </c>
      <c r="G1202" s="2074">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2009" t="str">
        <f>CONCATENATE("x ", F1202," units = ")</f>
        <v xml:space="preserve">x  units = </v>
      </c>
      <c r="I1202" s="2075" t="str">
        <f t="shared" si="372"/>
        <v/>
      </c>
      <c r="J1202" s="1311"/>
      <c r="K1202" s="2073" t="str">
        <f>IF('Part VI-Revenues &amp; Expenses'!$M$136 =0,"",'Part VI-Revenues &amp; Expenses'!$M$136)</f>
        <v/>
      </c>
      <c r="L1202" s="2074">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2009" t="str">
        <f>CONCATENATE("x ", K1202," units = ")</f>
        <v xml:space="preserve">x  units = </v>
      </c>
      <c r="N1202" s="2075" t="str">
        <f t="shared" si="373"/>
        <v/>
      </c>
      <c r="O1202" s="2068"/>
      <c r="P1202" s="2031" t="s">
        <v>4706</v>
      </c>
      <c r="Q1202" s="2031"/>
    </row>
    <row r="1203" spans="1:22">
      <c r="C1203" s="1311"/>
      <c r="D1203" s="2072" t="s">
        <v>2411</v>
      </c>
      <c r="E1203" s="1314">
        <v>4</v>
      </c>
      <c r="F1203" s="2073" t="str">
        <f>IF('Part VI-Revenues &amp; Expenses'!$N$135 =0,"",'Part VI-Revenues &amp; Expenses'!$N$135)</f>
        <v/>
      </c>
      <c r="G1203" s="2074">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2009" t="str">
        <f>CONCATENATE("x ", F1203," units = ")</f>
        <v xml:space="preserve">x  units = </v>
      </c>
      <c r="I1203" s="2075" t="str">
        <f t="shared" si="372"/>
        <v/>
      </c>
      <c r="J1203" s="1311"/>
      <c r="K1203" s="2073" t="str">
        <f>IF('Part VI-Revenues &amp; Expenses'!$N$136 =0,"",'Part VI-Revenues &amp; Expenses'!$N$136)</f>
        <v/>
      </c>
      <c r="L1203" s="2074">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2009" t="str">
        <f>CONCATENATE("x ", K1203," units = ")</f>
        <v xml:space="preserve">x  units = </v>
      </c>
      <c r="N1203" s="2075" t="str">
        <f t="shared" si="373"/>
        <v/>
      </c>
      <c r="O1203" s="2068"/>
      <c r="P1203" s="2076">
        <f>'Part IV-A-Uses of Funds'!$G$132</f>
        <v>15872847</v>
      </c>
      <c r="Q1203" s="2076"/>
    </row>
    <row r="1204" spans="1:22">
      <c r="C1204" s="1311"/>
      <c r="D1204" s="2077" t="s">
        <v>3311</v>
      </c>
      <c r="E1204" s="2006"/>
      <c r="F1204" s="2078">
        <f>SUM(F1199:F1203)</f>
        <v>0</v>
      </c>
      <c r="G1204" s="2079"/>
      <c r="H1204" s="2080"/>
      <c r="I1204" s="2081">
        <f>SUM(I1199:I1203)</f>
        <v>0</v>
      </c>
      <c r="J1204" s="2082"/>
      <c r="K1204" s="2078">
        <f>SUM(K1199:K1203)</f>
        <v>0</v>
      </c>
      <c r="L1204" s="2082"/>
      <c r="M1204" s="2080"/>
      <c r="N1204" s="2081">
        <f>SUM(N1199:N1203)</f>
        <v>0</v>
      </c>
      <c r="O1204" s="2068"/>
      <c r="P1204" s="2076"/>
      <c r="Q1204" s="2076"/>
    </row>
    <row r="1205" spans="1:22">
      <c r="C1205" s="1311"/>
      <c r="D1205" s="2083"/>
      <c r="E1205" s="2083"/>
      <c r="F1205" s="2084"/>
      <c r="G1205" s="2061"/>
      <c r="I1205" s="2084"/>
      <c r="K1205" s="2084"/>
      <c r="M1205" s="2068"/>
      <c r="N1205" s="2084"/>
      <c r="O1205" s="2068"/>
      <c r="R1205" s="1956"/>
    </row>
    <row r="1206" spans="1:22" ht="12.75" customHeight="1">
      <c r="A1206" s="1852" t="s">
        <v>3296</v>
      </c>
      <c r="B1206" s="1852"/>
      <c r="C1206" s="1852"/>
      <c r="D1206" s="2072" t="s">
        <v>558</v>
      </c>
      <c r="E1206" s="2073">
        <v>0</v>
      </c>
      <c r="F1206" s="2073" t="str">
        <f>IF('Part VI-Revenues &amp; Expenses'!$J$137 =0,"",'Part VI-Revenues &amp; Expenses'!$J$137)</f>
        <v/>
      </c>
      <c r="G1206" s="2074"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2009" t="str">
        <f>CONCATENATE("x ", F1206," units = ")</f>
        <v xml:space="preserve">x  units = </v>
      </c>
      <c r="I1206" s="2075" t="str">
        <f>IF(F1206="","",F1206*G1206)</f>
        <v/>
      </c>
      <c r="J1206" s="1311"/>
      <c r="K1206" s="2073" t="str">
        <f>IF('Part VI-Revenues &amp; Expenses'!$J$138 =0,"",'Part VI-Revenues &amp; Expenses'!$J$138)</f>
        <v/>
      </c>
      <c r="L1206" s="2074"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2009" t="str">
        <f>CONCATENATE("x ", K1206," units = ")</f>
        <v xml:space="preserve">x  units = </v>
      </c>
      <c r="N1206" s="2075" t="str">
        <f>IF(K1206="","",K1206*L1206)</f>
        <v/>
      </c>
      <c r="P1206" s="2076"/>
      <c r="Q1206" s="2076"/>
      <c r="S1206" s="2085" t="s">
        <v>5054</v>
      </c>
      <c r="T1206" s="2085"/>
      <c r="U1206" s="2085"/>
      <c r="V1206" s="2085"/>
    </row>
    <row r="1207" spans="1:22" ht="12.75" customHeight="1">
      <c r="A1207" s="1852"/>
      <c r="B1207" s="1852"/>
      <c r="C1207" s="1852"/>
      <c r="D1207" s="2072" t="s">
        <v>2408</v>
      </c>
      <c r="E1207" s="1314">
        <v>1</v>
      </c>
      <c r="F1207" s="2073" t="str">
        <f>IF('Part VI-Revenues &amp; Expenses'!$K$137 =0,"",'Part VI-Revenues &amp; Expenses'!$K$137)</f>
        <v/>
      </c>
      <c r="G1207" s="2074"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2009" t="str">
        <f>CONCATENATE("x ", F1207," units = ")</f>
        <v xml:space="preserve">x  units = </v>
      </c>
      <c r="I1207" s="2075" t="str">
        <f>IF(F1207="","",F1207*G1207)</f>
        <v/>
      </c>
      <c r="J1207" s="1311"/>
      <c r="K1207" s="2073" t="str">
        <f>IF('Part VI-Revenues &amp; Expenses'!$K$138 =0,"",'Part VI-Revenues &amp; Expenses'!$K$138)</f>
        <v/>
      </c>
      <c r="L1207" s="2074"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2009" t="str">
        <f>CONCATENATE("x ", K1207," units = ")</f>
        <v xml:space="preserve">x  units = </v>
      </c>
      <c r="N1207" s="2075" t="str">
        <f>IF(K1207="","",K1207*L1207)</f>
        <v/>
      </c>
      <c r="P1207" s="1925" t="s">
        <v>3905</v>
      </c>
      <c r="Q1207" s="1925"/>
      <c r="S1207" s="2085"/>
      <c r="T1207" s="2085"/>
      <c r="U1207" s="2085"/>
      <c r="V1207" s="2085"/>
    </row>
    <row r="1208" spans="1:22" ht="12.75" customHeight="1">
      <c r="A1208" s="1852"/>
      <c r="B1208" s="1852"/>
      <c r="C1208" s="1852"/>
      <c r="D1208" s="2072" t="s">
        <v>2409</v>
      </c>
      <c r="E1208" s="1314">
        <v>2</v>
      </c>
      <c r="F1208" s="2073" t="str">
        <f>IF('Part VI-Revenues &amp; Expenses'!$L$137 =0,"",'Part VI-Revenues &amp; Expenses'!$L$137)</f>
        <v/>
      </c>
      <c r="G1208" s="2074"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2009" t="str">
        <f>CONCATENATE("x ", F1208," units = ")</f>
        <v xml:space="preserve">x  units = </v>
      </c>
      <c r="I1208" s="2075" t="str">
        <f t="shared" ref="I1208:I1210" si="374">IF(F1208="","",F1208*G1208)</f>
        <v/>
      </c>
      <c r="J1208" s="1311"/>
      <c r="K1208" s="2073" t="str">
        <f>IF('Part VI-Revenues &amp; Expenses'!$L$138 =0,"",'Part VI-Revenues &amp; Expenses'!$L$138)</f>
        <v/>
      </c>
      <c r="L1208" s="2074"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2009" t="str">
        <f>CONCATENATE("x ", K1208," units = ")</f>
        <v xml:space="preserve">x  units = </v>
      </c>
      <c r="N1208" s="2075" t="str">
        <f t="shared" ref="N1208:N1210" si="375">IF(K1208="","",K1208*L1208)</f>
        <v/>
      </c>
      <c r="O1208" s="1967"/>
      <c r="P1208" s="2086"/>
      <c r="Q1208" s="2086"/>
      <c r="R1208" s="1956"/>
      <c r="S1208" s="2085"/>
      <c r="T1208" s="2085"/>
      <c r="U1208" s="2085"/>
      <c r="V1208" s="2085"/>
    </row>
    <row r="1209" spans="1:22" ht="12.75" customHeight="1">
      <c r="C1209" s="1311"/>
      <c r="D1209" s="2072" t="s">
        <v>2410</v>
      </c>
      <c r="E1209" s="1314">
        <v>3</v>
      </c>
      <c r="F1209" s="2073" t="str">
        <f>IF('Part VI-Revenues &amp; Expenses'!$M$137 =0,"",'Part VI-Revenues &amp; Expenses'!$M$137)</f>
        <v/>
      </c>
      <c r="G1209" s="2074"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2009" t="str">
        <f>CONCATENATE("x ", F1209," units = ")</f>
        <v xml:space="preserve">x  units = </v>
      </c>
      <c r="I1209" s="2075" t="str">
        <f t="shared" si="374"/>
        <v/>
      </c>
      <c r="J1209" s="1311"/>
      <c r="K1209" s="2073" t="str">
        <f>IF('Part VI-Revenues &amp; Expenses'!$M$138 =0,"",'Part VI-Revenues &amp; Expenses'!$M$138)</f>
        <v/>
      </c>
      <c r="L1209" s="2074"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2009" t="str">
        <f>CONCATENATE("x ", K1209," units = ")</f>
        <v xml:space="preserve">x  units = </v>
      </c>
      <c r="N1209" s="2075" t="str">
        <f t="shared" si="375"/>
        <v/>
      </c>
      <c r="O1209" s="1967"/>
      <c r="P1209" s="2086"/>
      <c r="Q1209" s="2086"/>
      <c r="S1209" s="2085"/>
      <c r="T1209" s="2085"/>
      <c r="U1209" s="2085"/>
      <c r="V1209" s="2085"/>
    </row>
    <row r="1210" spans="1:22" ht="12.75" customHeight="1">
      <c r="C1210" s="1311"/>
      <c r="D1210" s="2072" t="s">
        <v>2411</v>
      </c>
      <c r="E1210" s="1314">
        <v>4</v>
      </c>
      <c r="F1210" s="2073" t="str">
        <f>IF('Part VI-Revenues &amp; Expenses'!$N$137 =0,"",'Part VI-Revenues &amp; Expenses'!$N$137)</f>
        <v/>
      </c>
      <c r="G1210" s="2074"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2009" t="str">
        <f>CONCATENATE("x ", F1210," units = ")</f>
        <v xml:space="preserve">x  units = </v>
      </c>
      <c r="I1210" s="2075" t="str">
        <f t="shared" si="374"/>
        <v/>
      </c>
      <c r="J1210" s="1311"/>
      <c r="K1210" s="2073" t="str">
        <f>IF('Part VI-Revenues &amp; Expenses'!$N$138 =0,"",'Part VI-Revenues &amp; Expenses'!$N$138)</f>
        <v/>
      </c>
      <c r="L1210" s="2074"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2009" t="str">
        <f>CONCATENATE("x ", K1210," units = ")</f>
        <v xml:space="preserve">x  units = </v>
      </c>
      <c r="N1210" s="2075" t="str">
        <f t="shared" si="375"/>
        <v/>
      </c>
      <c r="O1210" s="1967"/>
      <c r="P1210" s="457" t="s">
        <v>3537</v>
      </c>
      <c r="Q1210" s="457"/>
      <c r="S1210" s="2085"/>
      <c r="T1210" s="2085"/>
      <c r="U1210" s="2085"/>
      <c r="V1210" s="2085"/>
    </row>
    <row r="1211" spans="1:22" ht="12.75" customHeight="1">
      <c r="C1211" s="1311"/>
      <c r="D1211" s="2077" t="s">
        <v>3311</v>
      </c>
      <c r="E1211" s="2006"/>
      <c r="F1211" s="2078">
        <f>SUM(F1206:F1210)</f>
        <v>0</v>
      </c>
      <c r="G1211" s="2079"/>
      <c r="H1211" s="2080"/>
      <c r="I1211" s="2081">
        <f>SUM(I1206:I1210)</f>
        <v>0</v>
      </c>
      <c r="J1211" s="2082"/>
      <c r="K1211" s="2078">
        <f>SUM(K1206:K1210)</f>
        <v>0</v>
      </c>
      <c r="L1211" s="2082"/>
      <c r="M1211" s="2080"/>
      <c r="N1211" s="2081">
        <f>SUM(N1206:N1210)</f>
        <v>0</v>
      </c>
      <c r="O1211" s="1967"/>
      <c r="P1211" s="1970" t="s">
        <v>3189</v>
      </c>
      <c r="Q1211" s="1970" t="s">
        <v>253</v>
      </c>
      <c r="R1211" s="1956"/>
      <c r="S1211" s="2085"/>
      <c r="T1211" s="2085"/>
      <c r="U1211" s="2085"/>
      <c r="V1211" s="2085"/>
    </row>
    <row r="1212" spans="1:22" ht="12.75" customHeight="1">
      <c r="C1212" s="1311"/>
      <c r="D1212" s="2083"/>
      <c r="E1212" s="2083"/>
      <c r="F1212" s="2084"/>
      <c r="G1212" s="2061"/>
      <c r="I1212" s="2084"/>
      <c r="K1212" s="2084"/>
      <c r="M1212" s="2068"/>
      <c r="N1212" s="2084"/>
      <c r="O1212" s="1967"/>
      <c r="R1212" s="1956"/>
      <c r="S1212" s="2085"/>
      <c r="T1212" s="2085"/>
      <c r="U1212" s="2085"/>
      <c r="V1212" s="2085"/>
    </row>
    <row r="1213" spans="1:22" ht="12.75" customHeight="1">
      <c r="A1213" s="1786" t="s">
        <v>3297</v>
      </c>
      <c r="C1213" s="1311"/>
      <c r="D1213" s="2072" t="s">
        <v>558</v>
      </c>
      <c r="E1213" s="1314">
        <v>0</v>
      </c>
      <c r="F1213" s="2073" t="str">
        <f>IF('Part VI-Revenues &amp; Expenses'!$J$139 =0,"",'Part VI-Revenues &amp; Expenses'!$J$139)</f>
        <v/>
      </c>
      <c r="G1213" s="2074">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2009" t="str">
        <f>CONCATENATE("x ", F1213," units = ")</f>
        <v xml:space="preserve">x  units = </v>
      </c>
      <c r="I1213" s="2075" t="str">
        <f>IF(F1213="","",F1213*G1213)</f>
        <v/>
      </c>
      <c r="J1213" s="1311"/>
      <c r="K1213" s="2073" t="str">
        <f>IF('Part VI-Revenues &amp; Expenses'!$J$140 =0,"",'Part VI-Revenues &amp; Expenses'!$J$140)</f>
        <v/>
      </c>
      <c r="L1213" s="2074">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2009" t="str">
        <f>CONCATENATE("x ", K1213," units = ")</f>
        <v xml:space="preserve">x  units = </v>
      </c>
      <c r="N1213" s="2075" t="str">
        <f>IF(K1213="","",K1213*L1213)</f>
        <v/>
      </c>
      <c r="O1213" s="1967"/>
      <c r="P1213" s="1965">
        <f>'Part IX Scoring Criteria'!O1578</f>
        <v>0</v>
      </c>
      <c r="Q1213" s="1965">
        <f>'Part IX Scoring Criteria'!P1578</f>
        <v>0</v>
      </c>
      <c r="R1213" s="1956"/>
      <c r="S1213" s="2085"/>
      <c r="T1213" s="2085"/>
      <c r="U1213" s="2085"/>
      <c r="V1213" s="2085"/>
    </row>
    <row r="1214" spans="1:22" ht="12.75" customHeight="1">
      <c r="C1214" s="1311"/>
      <c r="D1214" s="2072" t="s">
        <v>2408</v>
      </c>
      <c r="E1214" s="1314">
        <v>1</v>
      </c>
      <c r="F1214" s="2073">
        <f>IF('Part VI-Revenues &amp; Expenses'!$K$139 =0,"",'Part VI-Revenues &amp; Expenses'!$K$139)</f>
        <v>32</v>
      </c>
      <c r="G1214" s="2074">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2009" t="str">
        <f>CONCATENATE("x ", F1214," units = ")</f>
        <v xml:space="preserve">x 32 units = </v>
      </c>
      <c r="I1214" s="2075">
        <f>IF(F1214="","",F1214*G1214)</f>
        <v>4536512</v>
      </c>
      <c r="J1214" s="1311"/>
      <c r="K1214" s="2073" t="str">
        <f>IF('Part VI-Revenues &amp; Expenses'!$K$140 =0,"",'Part VI-Revenues &amp; Expenses'!$K$140)</f>
        <v/>
      </c>
      <c r="L1214" s="2074">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2009" t="str">
        <f>CONCATENATE("x ", K1214," units = ")</f>
        <v xml:space="preserve">x  units = </v>
      </c>
      <c r="N1214" s="2075" t="str">
        <f>IF(K1214="","",K1214*L1214)</f>
        <v/>
      </c>
      <c r="P1214" s="457" t="s">
        <v>3538</v>
      </c>
      <c r="Q1214" s="457"/>
      <c r="S1214" s="2085"/>
      <c r="T1214" s="2085"/>
      <c r="U1214" s="2085"/>
      <c r="V1214" s="2085"/>
    </row>
    <row r="1215" spans="1:22" ht="12.75" customHeight="1">
      <c r="C1215" s="1311"/>
      <c r="D1215" s="2072" t="s">
        <v>2409</v>
      </c>
      <c r="E1215" s="1314">
        <v>2</v>
      </c>
      <c r="F1215" s="2073">
        <f>IF('Part VI-Revenues &amp; Expenses'!$L$139 =0,"",'Part VI-Revenues &amp; Expenses'!$L$139)</f>
        <v>42</v>
      </c>
      <c r="G1215" s="2074">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2009" t="str">
        <f>CONCATENATE("x ", F1215," units = ")</f>
        <v xml:space="preserve">x 42 units = </v>
      </c>
      <c r="I1215" s="2075">
        <f t="shared" ref="I1215:I1217" si="376">IF(F1215="","",F1215*G1215)</f>
        <v>7655382</v>
      </c>
      <c r="J1215" s="1311"/>
      <c r="K1215" s="2073" t="str">
        <f>IF('Part VI-Revenues &amp; Expenses'!$L$140 =0,"",'Part VI-Revenues &amp; Expenses'!$L$140)</f>
        <v/>
      </c>
      <c r="L1215" s="2074">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2009" t="str">
        <f>CONCATENATE("x ", K1215," units = ")</f>
        <v xml:space="preserve">x  units = </v>
      </c>
      <c r="N1215" s="2075" t="str">
        <f t="shared" ref="N1215:N1217" si="377">IF(K1215="","",K1215*L1215)</f>
        <v/>
      </c>
      <c r="P1215" s="1970" t="s">
        <v>3189</v>
      </c>
      <c r="Q1215" s="1970" t="s">
        <v>253</v>
      </c>
      <c r="S1215" s="2085"/>
      <c r="T1215" s="2085"/>
      <c r="U1215" s="2085"/>
      <c r="V1215" s="2085"/>
    </row>
    <row r="1216" spans="1:22" ht="13.5" customHeight="1">
      <c r="C1216" s="1311"/>
      <c r="D1216" s="2072" t="s">
        <v>2410</v>
      </c>
      <c r="E1216" s="1314">
        <v>3</v>
      </c>
      <c r="F1216" s="2073">
        <f>IF('Part VI-Revenues &amp; Expenses'!$M$139 =0,"",'Part VI-Revenues &amp; Expenses'!$M$139)</f>
        <v>10</v>
      </c>
      <c r="G1216" s="2074">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2009" t="str">
        <f>CONCATENATE("x ", F1216," units = ")</f>
        <v xml:space="preserve">x 10 units = </v>
      </c>
      <c r="I1216" s="2075">
        <f t="shared" si="376"/>
        <v>2430280</v>
      </c>
      <c r="J1216" s="1311"/>
      <c r="K1216" s="2073" t="str">
        <f>IF('Part VI-Revenues &amp; Expenses'!$M$140 =0,"",'Part VI-Revenues &amp; Expenses'!$M$140)</f>
        <v/>
      </c>
      <c r="L1216" s="2074">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2009" t="str">
        <f>CONCATENATE("x ", K1216," units = ")</f>
        <v xml:space="preserve">x  units = </v>
      </c>
      <c r="N1216" s="2075" t="str">
        <f t="shared" si="377"/>
        <v/>
      </c>
      <c r="O1216" s="1967"/>
      <c r="P1216" s="1965">
        <f>'Part IX Scoring Criteria'!O1229</f>
        <v>0</v>
      </c>
      <c r="Q1216" s="1965">
        <f>'Part IX Scoring Criteria'!P1229</f>
        <v>0</v>
      </c>
      <c r="S1216" s="2085"/>
      <c r="T1216" s="2085"/>
      <c r="U1216" s="2085"/>
      <c r="V1216" s="2085"/>
    </row>
    <row r="1217" spans="1:22" ht="12.75" customHeight="1">
      <c r="C1217" s="1311"/>
      <c r="D1217" s="2072" t="s">
        <v>2411</v>
      </c>
      <c r="E1217" s="1314">
        <v>4</v>
      </c>
      <c r="F1217" s="2073" t="str">
        <f>IF('Part VI-Revenues &amp; Expenses'!$N$139 =0,"",'Part VI-Revenues &amp; Expenses'!$N$139)</f>
        <v/>
      </c>
      <c r="G1217" s="2074">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2009" t="str">
        <f>CONCATENATE("x ", F1217," units = ")</f>
        <v xml:space="preserve">x  units = </v>
      </c>
      <c r="I1217" s="2075" t="str">
        <f t="shared" si="376"/>
        <v/>
      </c>
      <c r="J1217" s="1311"/>
      <c r="K1217" s="2073" t="str">
        <f>IF('Part VI-Revenues &amp; Expenses'!$N$140 =0,"",'Part VI-Revenues &amp; Expenses'!$N$140)</f>
        <v/>
      </c>
      <c r="L1217" s="2074">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2009" t="str">
        <f>CONCATENATE("x ", K1217," units = ")</f>
        <v xml:space="preserve">x  units = </v>
      </c>
      <c r="N1217" s="2075" t="str">
        <f t="shared" si="377"/>
        <v/>
      </c>
      <c r="O1217" s="1967"/>
      <c r="P1217" s="2087" t="s">
        <v>2724</v>
      </c>
      <c r="Q1217" s="2087"/>
      <c r="V1217" s="1311"/>
    </row>
    <row r="1218" spans="1:22" ht="12.75" customHeight="1">
      <c r="C1218" s="1311"/>
      <c r="D1218" s="2077" t="s">
        <v>3311</v>
      </c>
      <c r="E1218" s="2006"/>
      <c r="F1218" s="2078">
        <f>SUM(F1213:F1217)</f>
        <v>84</v>
      </c>
      <c r="G1218" s="2079"/>
      <c r="H1218" s="2080"/>
      <c r="I1218" s="2081">
        <f>SUM(I1213:I1217)</f>
        <v>14622174</v>
      </c>
      <c r="J1218" s="2082"/>
      <c r="K1218" s="2078">
        <f>SUM(K1213:K1217)</f>
        <v>0</v>
      </c>
      <c r="L1218" s="2082"/>
      <c r="M1218" s="2080"/>
      <c r="N1218" s="2081">
        <f>SUM(N1213:N1217)</f>
        <v>0</v>
      </c>
      <c r="O1218" s="1967"/>
      <c r="P1218" s="2087"/>
      <c r="Q1218" s="2087"/>
      <c r="V1218" s="1311"/>
    </row>
    <row r="1219" spans="1:22" ht="12.75" customHeight="1">
      <c r="C1219" s="1311"/>
      <c r="D1219" s="2083"/>
      <c r="E1219" s="2083"/>
      <c r="F1219" s="2084"/>
      <c r="G1219" s="2061"/>
      <c r="I1219" s="2084"/>
      <c r="K1219" s="2084"/>
      <c r="M1219" s="2068"/>
      <c r="N1219" s="2084"/>
      <c r="O1219" s="1967"/>
      <c r="P1219" s="2087"/>
      <c r="Q1219" s="2087"/>
      <c r="R1219" s="1956"/>
      <c r="V1219" s="1311"/>
    </row>
    <row r="1220" spans="1:22" ht="12.75" customHeight="1">
      <c r="A1220" s="1786" t="s">
        <v>3298</v>
      </c>
      <c r="C1220" s="1311"/>
      <c r="D1220" s="2072" t="s">
        <v>558</v>
      </c>
      <c r="E1220" s="1314">
        <v>0</v>
      </c>
      <c r="F1220" s="2073" t="str">
        <f>IF('Part VI-Revenues &amp; Expenses'!$J$141 =0,"",'Part VI-Revenues &amp; Expenses'!$J$141)</f>
        <v/>
      </c>
      <c r="G1220" s="2074"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2009" t="str">
        <f>CONCATENATE("x ", F1220," units = ")</f>
        <v xml:space="preserve">x  units = </v>
      </c>
      <c r="I1220" s="2075" t="str">
        <f>IF(F1220="","",F1220*G1220)</f>
        <v/>
      </c>
      <c r="J1220" s="1311"/>
      <c r="K1220" s="2073" t="str">
        <f>IF('Part VI-Revenues &amp; Expenses'!$J$142 =0,"",'Part VI-Revenues &amp; Expenses'!$J$142)</f>
        <v/>
      </c>
      <c r="L1220" s="2074"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2009" t="str">
        <f>CONCATENATE("x ", K1220," units = ")</f>
        <v xml:space="preserve">x  units = </v>
      </c>
      <c r="N1220" s="2075" t="str">
        <f>IF(K1220="","",K1220*L1220)</f>
        <v/>
      </c>
      <c r="O1220" s="1967"/>
      <c r="P1220" s="2087"/>
      <c r="Q1220" s="2087"/>
      <c r="R1220" s="1956"/>
      <c r="V1220" s="1311"/>
    </row>
    <row r="1221" spans="1:22" ht="12.75" customHeight="1">
      <c r="C1221" s="1311"/>
      <c r="D1221" s="2072" t="s">
        <v>2408</v>
      </c>
      <c r="E1221" s="1314">
        <v>1</v>
      </c>
      <c r="F1221" s="2073" t="str">
        <f>IF('Part VI-Revenues &amp; Expenses'!$K$141 =0,"",'Part VI-Revenues &amp; Expenses'!$K$141)</f>
        <v/>
      </c>
      <c r="G1221" s="2074"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2009" t="str">
        <f>CONCATENATE("x ", F1221," units = ")</f>
        <v xml:space="preserve">x  units = </v>
      </c>
      <c r="I1221" s="2075" t="str">
        <f>IF(F1221="","",F1221*G1221)</f>
        <v/>
      </c>
      <c r="J1221" s="1311"/>
      <c r="K1221" s="2073" t="str">
        <f>IF('Part VI-Revenues &amp; Expenses'!$K$142 =0,"",'Part VI-Revenues &amp; Expenses'!$K$142)</f>
        <v/>
      </c>
      <c r="L1221" s="2074"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2009" t="str">
        <f>CONCATENATE("x ", K1221," units = ")</f>
        <v xml:space="preserve">x  units = </v>
      </c>
      <c r="N1221" s="2075" t="str">
        <f>IF(K1221="","",K1221*L1221)</f>
        <v/>
      </c>
      <c r="O1221" s="1967"/>
      <c r="P1221" s="2088">
        <f>'Part VIII-Threshold Criteria'!P63</f>
        <v>15879750</v>
      </c>
      <c r="Q1221" s="2088"/>
      <c r="R1221" s="1311"/>
      <c r="S1221" s="1311"/>
      <c r="V1221" s="1311"/>
    </row>
    <row r="1222" spans="1:22" ht="12.75" customHeight="1">
      <c r="C1222" s="1311"/>
      <c r="D1222" s="2072" t="s">
        <v>2409</v>
      </c>
      <c r="E1222" s="1314">
        <v>2</v>
      </c>
      <c r="F1222" s="2073" t="str">
        <f>IF('Part VI-Revenues &amp; Expenses'!$L$141 =0,"",'Part VI-Revenues &amp; Expenses'!$L$141)</f>
        <v/>
      </c>
      <c r="G1222" s="2074"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2009" t="str">
        <f>CONCATENATE("x ", F1222," units = ")</f>
        <v xml:space="preserve">x  units = </v>
      </c>
      <c r="I1222" s="2075" t="str">
        <f t="shared" ref="I1222:I1224" si="378">IF(F1222="","",F1222*G1222)</f>
        <v/>
      </c>
      <c r="J1222" s="1311"/>
      <c r="K1222" s="2073" t="str">
        <f>IF('Part VI-Revenues &amp; Expenses'!$L$142 =0,"",'Part VI-Revenues &amp; Expenses'!$L$142)</f>
        <v/>
      </c>
      <c r="L1222" s="2074"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2009" t="str">
        <f>CONCATENATE("x ", K1222," units = ")</f>
        <v xml:space="preserve">x  units = </v>
      </c>
      <c r="N1222" s="2075" t="str">
        <f t="shared" ref="N1222:N1224" si="379">IF(K1222="","",K1222*L1222)</f>
        <v/>
      </c>
      <c r="P1222" s="2088"/>
      <c r="Q1222" s="2088"/>
      <c r="R1222" s="1311"/>
      <c r="S1222" s="1311"/>
      <c r="V1222" s="1311"/>
    </row>
    <row r="1223" spans="1:22" ht="12.75" customHeight="1">
      <c r="C1223" s="1311"/>
      <c r="D1223" s="2072" t="s">
        <v>2410</v>
      </c>
      <c r="E1223" s="1314">
        <v>3</v>
      </c>
      <c r="F1223" s="2073" t="str">
        <f>IF('Part VI-Revenues &amp; Expenses'!$M$141 =0,"",'Part VI-Revenues &amp; Expenses'!$M$141)</f>
        <v/>
      </c>
      <c r="G1223" s="2074"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2009" t="str">
        <f>CONCATENATE("x ", F1223," units = ")</f>
        <v xml:space="preserve">x  units = </v>
      </c>
      <c r="I1223" s="2075" t="str">
        <f t="shared" si="378"/>
        <v/>
      </c>
      <c r="J1223" s="1311"/>
      <c r="K1223" s="2073" t="str">
        <f>IF('Part VI-Revenues &amp; Expenses'!$M$142 =0,"",'Part VI-Revenues &amp; Expenses'!$M$142)</f>
        <v/>
      </c>
      <c r="L1223" s="2074"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2009" t="str">
        <f>CONCATENATE("x ", K1223," units = ")</f>
        <v xml:space="preserve">x  units = </v>
      </c>
      <c r="N1223" s="2075" t="str">
        <f t="shared" si="379"/>
        <v/>
      </c>
      <c r="P1223" s="2069" t="s">
        <v>4274</v>
      </c>
      <c r="Q1223" s="2069"/>
      <c r="R1223" s="1956"/>
      <c r="V1223" s="1311"/>
    </row>
    <row r="1224" spans="1:22">
      <c r="C1224" s="1311"/>
      <c r="D1224" s="2072" t="s">
        <v>2411</v>
      </c>
      <c r="E1224" s="1314">
        <v>4</v>
      </c>
      <c r="F1224" s="2073" t="str">
        <f>IF('Part VI-Revenues &amp; Expenses'!$N$141 =0,"",'Part VI-Revenues &amp; Expenses'!$N$141)</f>
        <v/>
      </c>
      <c r="G1224" s="2074"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2009" t="str">
        <f>CONCATENATE("x ", F1224," units = ")</f>
        <v xml:space="preserve">x  units = </v>
      </c>
      <c r="I1224" s="2075" t="str">
        <f t="shared" si="378"/>
        <v/>
      </c>
      <c r="J1224" s="1311"/>
      <c r="K1224" s="2073" t="str">
        <f>IF('Part VI-Revenues &amp; Expenses'!$N$142 =0,"",'Part VI-Revenues &amp; Expenses'!$N$142)</f>
        <v/>
      </c>
      <c r="L1224" s="2074"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2009" t="str">
        <f>CONCATENATE("x ", K1224," units = ")</f>
        <v xml:space="preserve">x  units = </v>
      </c>
      <c r="N1224" s="2075" t="str">
        <f t="shared" si="379"/>
        <v/>
      </c>
      <c r="O1224" s="1967"/>
      <c r="P1224" s="2069"/>
      <c r="Q1224" s="2069"/>
      <c r="R1224" s="1956"/>
      <c r="V1224" s="1311"/>
    </row>
    <row r="1225" spans="1:22">
      <c r="C1225" s="1311"/>
      <c r="D1225" s="2077" t="s">
        <v>3311</v>
      </c>
      <c r="E1225" s="2006"/>
      <c r="F1225" s="2078">
        <f>SUM(F1220:F1224)</f>
        <v>0</v>
      </c>
      <c r="G1225" s="2079"/>
      <c r="H1225" s="2080"/>
      <c r="I1225" s="2081">
        <f>SUM(I1220:I1224)</f>
        <v>0</v>
      </c>
      <c r="J1225" s="2082"/>
      <c r="K1225" s="2078">
        <f>SUM(K1220:K1224)</f>
        <v>0</v>
      </c>
      <c r="L1225" s="2082"/>
      <c r="M1225" s="2080"/>
      <c r="N1225" s="2081">
        <f>SUM(N1220:N1224)</f>
        <v>0</v>
      </c>
      <c r="O1225" s="1967"/>
      <c r="P1225" s="2069"/>
      <c r="Q1225" s="2069"/>
      <c r="R1225" s="1956"/>
      <c r="V1225" s="1311"/>
    </row>
    <row r="1226" spans="1:22">
      <c r="C1226" s="1311"/>
      <c r="D1226" s="1311"/>
      <c r="E1226" s="1203"/>
      <c r="F1226" s="1311"/>
      <c r="G1226" s="457"/>
      <c r="H1226" s="2089"/>
      <c r="I1226" s="2089"/>
      <c r="J1226" s="2089"/>
      <c r="K1226" s="2089"/>
      <c r="L1226" s="2089"/>
      <c r="M1226" s="2089"/>
      <c r="N1226" s="2090"/>
      <c r="O1226" s="1967"/>
      <c r="P1226" s="2069"/>
      <c r="Q1226" s="2069"/>
      <c r="R1226" s="1956"/>
      <c r="S1226" s="1956"/>
      <c r="V1226" s="1311"/>
    </row>
    <row r="1227" spans="1:22">
      <c r="A1227" s="2009" t="s">
        <v>3312</v>
      </c>
      <c r="B1227" s="1311"/>
      <c r="C1227" s="1311"/>
      <c r="D1227" s="1311"/>
      <c r="E1227" s="1957"/>
      <c r="F1227" s="2091">
        <f>F1204+F1211+F1218+F1225</f>
        <v>84</v>
      </c>
      <c r="G1227" s="1790"/>
      <c r="H1227" s="1874">
        <f>I1204+I1211+I1218+I1225</f>
        <v>14622174</v>
      </c>
      <c r="I1227" s="1874"/>
      <c r="J1227" s="1874"/>
      <c r="K1227" s="2091">
        <f>K1204+K1211+K1218+K1225</f>
        <v>0</v>
      </c>
      <c r="L1227" s="2092"/>
      <c r="M1227" s="1874">
        <f>N1204+N1211+N1218+N1225</f>
        <v>0</v>
      </c>
      <c r="N1227" s="1874"/>
      <c r="O1227" s="1874"/>
      <c r="P1227" s="2069"/>
      <c r="Q1227" s="2069"/>
      <c r="R1227" s="1956"/>
      <c r="S1227" s="1956"/>
      <c r="V1227" s="1311"/>
    </row>
    <row r="1228" spans="1:22">
      <c r="B1228" s="2010" t="s">
        <v>3644</v>
      </c>
      <c r="D1228" s="2010"/>
      <c r="E1228" s="2010"/>
      <c r="F1228" s="2010"/>
      <c r="G1228" s="2010"/>
      <c r="H1228" s="2009"/>
      <c r="I1228" s="1314"/>
      <c r="J1228" s="1314"/>
      <c r="K1228" s="2066" t="s">
        <v>1841</v>
      </c>
      <c r="L1228" s="1958"/>
      <c r="M1228" s="1958"/>
      <c r="N1228" s="1958"/>
      <c r="O1228" s="1958"/>
      <c r="P1228" s="2069"/>
      <c r="Q1228" s="2069"/>
    </row>
    <row r="1229" spans="1:22" ht="81.599999999999994">
      <c r="A1229" s="2064" t="str">
        <f>'Part VIII-Threshold Criteria'!A71</f>
        <v xml:space="preserve">The total development cost is $15,879,750 which is below the Project Cost Limits. </v>
      </c>
      <c r="B1229" s="2064"/>
      <c r="C1229" s="2064"/>
      <c r="D1229" s="2064"/>
      <c r="E1229" s="2064"/>
      <c r="F1229" s="2064"/>
      <c r="G1229" s="2064"/>
      <c r="H1229" s="2064"/>
      <c r="I1229" s="2064"/>
      <c r="J1229" s="2064"/>
      <c r="K1229" s="2064"/>
      <c r="L1229" s="2064"/>
      <c r="M1229" s="2064"/>
      <c r="N1229" s="2064"/>
      <c r="O1229" s="2064"/>
      <c r="P1229" s="2064"/>
      <c r="Q1229" s="2064"/>
      <c r="R1229" s="2065" t="s">
        <v>1239</v>
      </c>
      <c r="U1229" s="1957"/>
      <c r="V1229" s="1957"/>
    </row>
    <row r="1230" spans="1:22">
      <c r="B1230" s="1314"/>
      <c r="C1230" s="2068"/>
      <c r="D1230" s="2068"/>
      <c r="E1230" s="2068"/>
      <c r="F1230" s="2068"/>
      <c r="G1230" s="2068"/>
      <c r="H1230" s="2068"/>
      <c r="I1230" s="2068"/>
      <c r="J1230" s="2068"/>
      <c r="K1230" s="2068"/>
      <c r="L1230" s="2068"/>
      <c r="M1230" s="2068"/>
      <c r="N1230" s="2068"/>
      <c r="O1230" s="2068"/>
      <c r="P1230" s="2068"/>
      <c r="Q1230" s="1958"/>
    </row>
    <row r="1231" spans="1:22">
      <c r="A1231" s="1949" t="s">
        <v>731</v>
      </c>
      <c r="B1231" s="1311" t="s">
        <v>1176</v>
      </c>
      <c r="C1231" s="1311"/>
      <c r="D1231" s="1311"/>
      <c r="E1231" s="2068"/>
      <c r="F1231" s="2068"/>
      <c r="G1231" s="2061" t="s">
        <v>97</v>
      </c>
      <c r="H1231" s="2068"/>
      <c r="J1231" s="457" t="str">
        <f>'Part I-Project Information'!$H$82</f>
        <v>Family</v>
      </c>
      <c r="K1231" s="457"/>
      <c r="L1231" s="457"/>
      <c r="O1231" s="2062" t="s">
        <v>1842</v>
      </c>
      <c r="P1231" s="1957"/>
      <c r="Q1231" s="1957"/>
    </row>
    <row r="1232" spans="1:22">
      <c r="B1232" s="2010" t="s">
        <v>3644</v>
      </c>
      <c r="D1232" s="2010"/>
      <c r="E1232" s="2010"/>
      <c r="F1232" s="2010"/>
      <c r="G1232" s="2010"/>
      <c r="H1232" s="2009"/>
      <c r="I1232" s="1314"/>
      <c r="J1232" s="1314"/>
      <c r="K1232" s="2066" t="s">
        <v>1841</v>
      </c>
      <c r="L1232" s="1958"/>
      <c r="M1232" s="1958"/>
      <c r="N1232" s="1958"/>
      <c r="O1232" s="1958"/>
      <c r="P1232" s="1958"/>
      <c r="Q1232" s="1958"/>
    </row>
    <row r="1233" spans="1:22" ht="51">
      <c r="A1233" s="2064" t="str">
        <f>'Part VIII-Threshold Criteria'!A75</f>
        <v xml:space="preserve">The applicant has elected family tenancy for this project. </v>
      </c>
      <c r="B1233" s="2064"/>
      <c r="C1233" s="2064"/>
      <c r="D1233" s="2064"/>
      <c r="E1233" s="2064"/>
      <c r="F1233" s="2064"/>
      <c r="G1233" s="2064"/>
      <c r="H1233" s="2064"/>
      <c r="I1233" s="2064"/>
      <c r="J1233" s="2064"/>
      <c r="K1233" s="2064"/>
      <c r="L1233" s="2064"/>
      <c r="M1233" s="2064"/>
      <c r="N1233" s="2064"/>
      <c r="O1233" s="2064"/>
      <c r="P1233" s="2064"/>
      <c r="Q1233" s="2064"/>
      <c r="R1233" s="2065" t="s">
        <v>1239</v>
      </c>
      <c r="U1233" s="1957"/>
      <c r="V1233" s="1957"/>
    </row>
    <row r="1234" spans="1:22">
      <c r="A1234" s="1958"/>
      <c r="B1234" s="1314"/>
      <c r="C1234" s="2068"/>
      <c r="D1234" s="2068"/>
      <c r="E1234" s="2068"/>
      <c r="F1234" s="2068"/>
      <c r="G1234" s="2068"/>
      <c r="H1234" s="2068"/>
      <c r="I1234" s="2068"/>
      <c r="J1234" s="2068"/>
      <c r="K1234" s="2068"/>
      <c r="L1234" s="2068"/>
      <c r="M1234" s="2068"/>
      <c r="N1234" s="2068"/>
      <c r="O1234" s="2068"/>
      <c r="P1234" s="2068"/>
      <c r="Q1234" s="1958"/>
    </row>
    <row r="1235" spans="1:22">
      <c r="A1235" s="1949" t="s">
        <v>1770</v>
      </c>
      <c r="B1235" s="1949" t="s">
        <v>2615</v>
      </c>
      <c r="C1235" s="2009"/>
      <c r="D1235" s="2068"/>
      <c r="E1235" s="2068"/>
      <c r="F1235" s="2068"/>
      <c r="G1235" s="2068"/>
      <c r="H1235" s="2068"/>
      <c r="I1235" s="2068"/>
      <c r="J1235" s="2068"/>
      <c r="L1235" s="2093" t="s">
        <v>4420</v>
      </c>
      <c r="M1235" s="2094" t="s">
        <v>4421</v>
      </c>
      <c r="O1235" s="2062" t="s">
        <v>1842</v>
      </c>
      <c r="P1235" s="1957"/>
      <c r="Q1235" s="1957"/>
    </row>
    <row r="1237" spans="1:22" ht="12.75" customHeight="1">
      <c r="A1237" s="2095" t="s">
        <v>1957</v>
      </c>
      <c r="B1237" s="2064" t="s">
        <v>4412</v>
      </c>
      <c r="C1237" s="2064"/>
      <c r="D1237" s="2064"/>
      <c r="E1237" s="2064"/>
      <c r="F1237" s="2064"/>
      <c r="G1237" s="2064"/>
      <c r="H1237" s="2064"/>
      <c r="I1237" s="2064"/>
      <c r="J1237" s="2064"/>
      <c r="L1237" s="2096" t="s">
        <v>2854</v>
      </c>
      <c r="M1237" s="2097">
        <v>2</v>
      </c>
      <c r="N1237" s="2061" t="s">
        <v>3595</v>
      </c>
      <c r="P1237" s="457" t="str">
        <f>'Part VIII-Threshold Criteria'!P79</f>
        <v>Agree</v>
      </c>
      <c r="Q1237" s="457"/>
    </row>
    <row r="1238" spans="1:22">
      <c r="A1238" s="2095"/>
      <c r="B1238" s="2064"/>
      <c r="C1238" s="2064"/>
      <c r="D1238" s="2064"/>
      <c r="E1238" s="2064"/>
      <c r="F1238" s="2064"/>
      <c r="G1238" s="2064"/>
      <c r="H1238" s="2064"/>
      <c r="I1238" s="2064"/>
      <c r="J1238" s="2064"/>
      <c r="L1238" s="2096" t="s">
        <v>4419</v>
      </c>
      <c r="M1238" s="2096">
        <v>4</v>
      </c>
      <c r="O1238" s="2064"/>
      <c r="P1238" s="457"/>
      <c r="Q1238" s="457"/>
    </row>
    <row r="1239" spans="1:22">
      <c r="A1239" s="2098" t="s">
        <v>1959</v>
      </c>
      <c r="B1239" s="2061" t="s">
        <v>4422</v>
      </c>
      <c r="C1239" s="2061"/>
      <c r="D1239" s="2061"/>
      <c r="E1239" s="2061"/>
      <c r="F1239" s="2061"/>
      <c r="G1239" s="2061"/>
      <c r="H1239" s="2061"/>
      <c r="I1239" s="2061"/>
      <c r="J1239" s="2061"/>
      <c r="K1239" s="2064"/>
      <c r="L1239" s="2061"/>
      <c r="N1239" s="2099"/>
      <c r="O1239" s="2099"/>
      <c r="P1239" s="2099"/>
    </row>
    <row r="1240" spans="1:22">
      <c r="A1240" s="2098"/>
      <c r="B1240" s="2100" t="s">
        <v>1716</v>
      </c>
      <c r="C1240" s="2061" t="s">
        <v>4426</v>
      </c>
      <c r="D1240" s="2061"/>
      <c r="E1240" s="2061"/>
      <c r="F1240" s="2061"/>
      <c r="G1240" s="2061"/>
      <c r="H1240" s="2061"/>
      <c r="I1240" s="2061"/>
      <c r="J1240" s="2061"/>
      <c r="K1240" s="2064"/>
      <c r="L1240" s="2061"/>
      <c r="N1240" s="2061" t="s">
        <v>3595</v>
      </c>
      <c r="O1240" s="2099"/>
      <c r="P1240" s="1314">
        <f>'Part VIII-Threshold Criteria'!P82</f>
        <v>0</v>
      </c>
      <c r="Q1240" s="1314"/>
    </row>
    <row r="1241" spans="1:22">
      <c r="A1241" s="2098"/>
      <c r="B1241" s="2100" t="s">
        <v>1717</v>
      </c>
      <c r="C1241" s="2061" t="s">
        <v>4423</v>
      </c>
      <c r="D1241" s="2061"/>
      <c r="E1241" s="2061"/>
      <c r="F1241" s="2061"/>
      <c r="G1241" s="2061"/>
      <c r="H1241" s="2061"/>
      <c r="I1241" s="2061"/>
      <c r="J1241" s="2061"/>
      <c r="K1241" s="2064"/>
      <c r="L1241" s="2061"/>
      <c r="N1241" s="2061" t="s">
        <v>3595</v>
      </c>
      <c r="O1241" s="2099"/>
      <c r="P1241" s="1314" t="str">
        <f>'Part VIII-Threshold Criteria'!P83</f>
        <v>Agree</v>
      </c>
      <c r="Q1241" s="1314"/>
    </row>
    <row r="1242" spans="1:22">
      <c r="A1242" s="2095"/>
      <c r="B1242" s="2100" t="s">
        <v>1718</v>
      </c>
      <c r="C1242" s="2061" t="s">
        <v>4424</v>
      </c>
      <c r="E1242" s="2061"/>
      <c r="F1242" s="2061"/>
      <c r="G1242" s="2061"/>
      <c r="H1242" s="2061"/>
      <c r="I1242" s="2061"/>
      <c r="J1242" s="2061"/>
      <c r="K1242" s="2064"/>
      <c r="L1242" s="2061"/>
      <c r="M1242" s="2099"/>
      <c r="N1242" s="2061" t="s">
        <v>3595</v>
      </c>
      <c r="O1242" s="2099"/>
      <c r="P1242" s="1314" t="str">
        <f>'Part VIII-Threshold Criteria'!P84</f>
        <v>Agree</v>
      </c>
      <c r="Q1242" s="1314"/>
    </row>
    <row r="1243" spans="1:22">
      <c r="A1243" s="2101"/>
      <c r="B1243" s="2100" t="s">
        <v>2336</v>
      </c>
      <c r="C1243" s="2100" t="s">
        <v>4427</v>
      </c>
      <c r="D1243" s="2031"/>
      <c r="E1243" s="2031"/>
      <c r="F1243" s="2031"/>
      <c r="G1243" s="2031"/>
      <c r="H1243" s="2031"/>
      <c r="I1243" s="1311"/>
      <c r="J1243" s="1311"/>
      <c r="N1243" s="2061" t="s">
        <v>3595</v>
      </c>
      <c r="O1243" s="2099"/>
      <c r="P1243" s="1314">
        <f>'Part VIII-Threshold Criteria'!P85</f>
        <v>0</v>
      </c>
      <c r="Q1243" s="1314"/>
    </row>
    <row r="1244" spans="1:22">
      <c r="A1244" s="2101"/>
      <c r="B1244" s="2100"/>
      <c r="C1244" s="2061" t="s">
        <v>4428</v>
      </c>
      <c r="D1244" s="2031"/>
      <c r="E1244" s="2031"/>
      <c r="F1244" s="2031"/>
      <c r="G1244" s="2031"/>
      <c r="H1244" s="2031"/>
      <c r="I1244" s="1311"/>
      <c r="J1244" s="1311"/>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2101"/>
      <c r="B1245" s="2100" t="s">
        <v>1530</v>
      </c>
      <c r="C1245" s="2064" t="s">
        <v>4425</v>
      </c>
      <c r="D1245" s="2064"/>
      <c r="E1245" s="2064"/>
      <c r="F1245" s="2064"/>
      <c r="G1245" s="2064"/>
      <c r="H1245" s="2064"/>
      <c r="I1245" s="2064"/>
      <c r="J1245" s="2064"/>
      <c r="K1245" s="2064"/>
      <c r="L1245" s="2064"/>
      <c r="M1245" s="2071"/>
      <c r="N1245" s="2061" t="s">
        <v>3595</v>
      </c>
      <c r="O1245" s="2099"/>
      <c r="P1245" s="1314" t="str">
        <f>'Part VIII-Threshold Criteria'!P87</f>
        <v>Agree</v>
      </c>
      <c r="Q1245" s="1314"/>
    </row>
    <row r="1246" spans="1:22">
      <c r="A1246" s="2098"/>
      <c r="C1246" s="2064"/>
      <c r="D1246" s="2064"/>
      <c r="E1246" s="2064"/>
      <c r="F1246" s="2064"/>
      <c r="G1246" s="2064"/>
      <c r="H1246" s="2064"/>
      <c r="I1246" s="2064"/>
      <c r="J1246" s="2064"/>
      <c r="K1246" s="2064"/>
      <c r="L1246" s="2064"/>
      <c r="M1246" s="2071"/>
    </row>
    <row r="1247" spans="1:22">
      <c r="B1247" s="2010" t="s">
        <v>3644</v>
      </c>
      <c r="D1247" s="2010"/>
      <c r="E1247" s="2010"/>
      <c r="F1247" s="2010"/>
      <c r="G1247" s="2010"/>
      <c r="H1247" s="2009"/>
      <c r="I1247" s="1314"/>
      <c r="J1247" s="1314"/>
      <c r="K1247" s="2066" t="s">
        <v>1841</v>
      </c>
      <c r="L1247" s="1958"/>
      <c r="M1247" s="1958"/>
      <c r="N1247" s="1958"/>
      <c r="O1247" s="1958"/>
      <c r="P1247" s="1958"/>
      <c r="Q1247" s="1958"/>
    </row>
    <row r="1248" spans="1:22" ht="387.6">
      <c r="A1248" s="2064" t="str">
        <f>'Part VIII-Threshold Criteria'!A90</f>
        <v xml:space="preserve">Applicant agrees to provide the required number and kinds of services as required in the 2019 QAP for projects with a family tenancy.  The project has 84 units; consequently, a full-time activities manager has not been included in the budget. Additionally, the project does not involved the rehabilitation of an existing congregate supportive housing development therefore no behavioral health agency has been identified. </v>
      </c>
      <c r="B1248" s="2064"/>
      <c r="C1248" s="2064"/>
      <c r="D1248" s="2064"/>
      <c r="E1248" s="2064"/>
      <c r="F1248" s="2064"/>
      <c r="G1248" s="2064"/>
      <c r="H1248" s="2064"/>
      <c r="I1248" s="2064"/>
      <c r="J1248" s="2064"/>
      <c r="K1248" s="2064"/>
      <c r="L1248" s="2064"/>
      <c r="M1248" s="2064"/>
      <c r="N1248" s="2064"/>
      <c r="O1248" s="2064"/>
      <c r="P1248" s="2064"/>
      <c r="Q1248" s="2064"/>
      <c r="R1248" s="2065" t="s">
        <v>1239</v>
      </c>
      <c r="U1248" s="1957"/>
      <c r="V1248" s="1957"/>
    </row>
    <row r="1249" spans="1:22">
      <c r="A1249" s="1958"/>
      <c r="B1249" s="1314"/>
      <c r="C1249" s="2068"/>
      <c r="D1249" s="2068"/>
      <c r="E1249" s="2068"/>
      <c r="F1249" s="2068"/>
      <c r="G1249" s="2068"/>
      <c r="H1249" s="2068"/>
      <c r="I1249" s="2068"/>
      <c r="J1249" s="2068"/>
      <c r="K1249" s="2068"/>
      <c r="L1249" s="2068"/>
      <c r="M1249" s="2068"/>
      <c r="N1249" s="2068"/>
      <c r="O1249" s="2068"/>
      <c r="P1249" s="2068"/>
      <c r="Q1249" s="1958"/>
    </row>
    <row r="1250" spans="1:22">
      <c r="A1250" s="1949" t="s">
        <v>1772</v>
      </c>
      <c r="B1250" s="1949" t="s">
        <v>2616</v>
      </c>
      <c r="C1250" s="1949"/>
      <c r="D1250" s="2068"/>
      <c r="E1250" s="2068"/>
      <c r="F1250" s="2068"/>
      <c r="G1250" s="2068"/>
      <c r="H1250" s="2068"/>
      <c r="I1250" s="2068"/>
      <c r="J1250" s="2068"/>
      <c r="K1250" s="2068"/>
      <c r="O1250" s="2062" t="s">
        <v>1842</v>
      </c>
      <c r="P1250" s="1957"/>
      <c r="Q1250" s="1957"/>
    </row>
    <row r="1252" spans="1:22">
      <c r="A1252" s="2098" t="s">
        <v>1957</v>
      </c>
      <c r="B1252" s="1051" t="s">
        <v>2428</v>
      </c>
      <c r="D1252" s="2031"/>
      <c r="E1252" s="2031"/>
      <c r="F1252" s="2031"/>
      <c r="G1252" s="2031"/>
      <c r="H1252" s="2031"/>
      <c r="I1252" s="1311"/>
      <c r="J1252" s="1311"/>
      <c r="K1252" s="1311"/>
      <c r="L1252" s="2098" t="s">
        <v>1957</v>
      </c>
      <c r="M1252" s="457" t="str">
        <f>'Part VIII-Threshold Criteria'!M94</f>
        <v>Novogradac &amp; Company</v>
      </c>
      <c r="N1252" s="457">
        <f>'Part VIII-Threshold Criteria'!N94</f>
        <v>0</v>
      </c>
      <c r="O1252" s="457">
        <f>'Part VIII-Threshold Criteria'!O94</f>
        <v>0</v>
      </c>
      <c r="P1252" s="1311">
        <f>'Part VIII-Threshold Criteria'!P94</f>
        <v>0</v>
      </c>
      <c r="Q1252" s="1314"/>
    </row>
    <row r="1253" spans="1:22">
      <c r="A1253" s="2098" t="s">
        <v>1959</v>
      </c>
      <c r="B1253" s="457" t="s">
        <v>2010</v>
      </c>
      <c r="D1253" s="2031"/>
      <c r="E1253" s="2031"/>
      <c r="F1253" s="2031"/>
      <c r="L1253" s="2098" t="s">
        <v>1959</v>
      </c>
      <c r="M1253" s="457" t="str">
        <f>'Part VIII-Threshold Criteria'!M95</f>
        <v>25 units per month (just over three months)</v>
      </c>
      <c r="N1253" s="457">
        <f>'Part VIII-Threshold Criteria'!N95</f>
        <v>0</v>
      </c>
      <c r="O1253" s="457">
        <f>'Part VIII-Threshold Criteria'!O95</f>
        <v>0</v>
      </c>
      <c r="P1253" s="1311">
        <f>'Part VIII-Threshold Criteria'!P95</f>
        <v>0</v>
      </c>
      <c r="Q1253" s="1314"/>
    </row>
    <row r="1254" spans="1:22">
      <c r="A1254" s="2098" t="s">
        <v>738</v>
      </c>
      <c r="B1254" s="457" t="s">
        <v>2824</v>
      </c>
      <c r="D1254" s="2031"/>
      <c r="E1254" s="2031"/>
      <c r="F1254" s="2031"/>
      <c r="L1254" s="2098" t="s">
        <v>738</v>
      </c>
      <c r="M1254" s="2102">
        <f>'Part VIII-Threshold Criteria'!M96</f>
        <v>0.96899999999999997</v>
      </c>
      <c r="N1254" s="2102">
        <f>'Part VIII-Threshold Criteria'!N96</f>
        <v>0</v>
      </c>
      <c r="O1254" s="2102">
        <f>'Part VIII-Threshold Criteria'!O96</f>
        <v>0</v>
      </c>
      <c r="P1254" s="2103">
        <f>'Part VIII-Threshold Criteria'!P96</f>
        <v>0</v>
      </c>
      <c r="Q1254" s="1314"/>
    </row>
    <row r="1255" spans="1:22">
      <c r="A1255" s="2098" t="s">
        <v>2088</v>
      </c>
      <c r="B1255" s="457" t="s">
        <v>3759</v>
      </c>
      <c r="D1255" s="2031"/>
      <c r="E1255" s="2031"/>
      <c r="F1255" s="2031"/>
      <c r="L1255" s="2098" t="s">
        <v>3760</v>
      </c>
      <c r="M1255" s="2104">
        <f>'Part VIII-Threshold Criteria'!M97</f>
        <v>5.5E-2</v>
      </c>
      <c r="N1255" s="2102"/>
      <c r="O1255" s="2105" t="s">
        <v>3939</v>
      </c>
      <c r="P1255" s="2106">
        <f>'Part VIII-Threshold Criteria'!P97</f>
        <v>4.8000000000000001E-2</v>
      </c>
      <c r="Q1255" s="1314"/>
    </row>
    <row r="1256" spans="1:22">
      <c r="A1256" s="2095" t="s">
        <v>1714</v>
      </c>
      <c r="B1256" s="2061" t="s">
        <v>3758</v>
      </c>
      <c r="D1256" s="2061"/>
      <c r="E1256" s="2061"/>
      <c r="F1256" s="2061"/>
      <c r="G1256" s="2061"/>
      <c r="H1256" s="2061"/>
      <c r="I1256" s="2061"/>
      <c r="J1256" s="2061"/>
      <c r="K1256" s="2061"/>
      <c r="L1256" s="2061"/>
      <c r="M1256" s="2061"/>
      <c r="N1256" s="2061"/>
      <c r="O1256" s="2061"/>
      <c r="P1256" s="2061"/>
      <c r="Q1256" s="2061"/>
    </row>
    <row r="1257" spans="1:22">
      <c r="B1257" s="2098"/>
      <c r="C1257" s="457"/>
      <c r="D1257" s="1314" t="s">
        <v>2348</v>
      </c>
      <c r="E1257" s="2009" t="s">
        <v>606</v>
      </c>
      <c r="F1257" s="2009"/>
      <c r="H1257" s="457"/>
      <c r="I1257" s="1314" t="s">
        <v>2348</v>
      </c>
      <c r="J1257" s="2009" t="s">
        <v>606</v>
      </c>
      <c r="K1257" s="2009"/>
      <c r="M1257" s="457"/>
      <c r="N1257" s="1314" t="s">
        <v>2348</v>
      </c>
      <c r="O1257" s="2009" t="s">
        <v>606</v>
      </c>
      <c r="P1257" s="2009"/>
      <c r="Q1257" s="2098"/>
    </row>
    <row r="1258" spans="1:22">
      <c r="C1258" s="2098" t="s">
        <v>1716</v>
      </c>
      <c r="D1258" s="1314" t="str">
        <f>'Part VIII-Threshold Criteria'!D100</f>
        <v>2001-037</v>
      </c>
      <c r="E1258" s="457" t="str">
        <f>'Part VIII-Threshold Criteria'!E100</f>
        <v>Villages at Carver</v>
      </c>
      <c r="F1258" s="457">
        <f>'Part VIII-Threshold Criteria'!F100</f>
        <v>0</v>
      </c>
      <c r="G1258" s="457">
        <f>'Part VIII-Threshold Criteria'!G100</f>
        <v>0</v>
      </c>
      <c r="H1258" s="2098" t="s">
        <v>1718</v>
      </c>
      <c r="I1258" s="1314">
        <f>'Part VIII-Threshold Criteria'!I100</f>
        <v>2011</v>
      </c>
      <c r="J1258" s="457" t="str">
        <f>'Part VIII-Threshold Criteria'!J100</f>
        <v>The Villas at Lakewood</v>
      </c>
      <c r="K1258" s="457">
        <f>'Part VIII-Threshold Criteria'!K100</f>
        <v>0</v>
      </c>
      <c r="L1258" s="457">
        <f>'Part VIII-Threshold Criteria'!L100</f>
        <v>0</v>
      </c>
      <c r="M1258" s="2098" t="s">
        <v>1530</v>
      </c>
      <c r="N1258" s="1314" t="str">
        <f>'Part VIII-Threshold Criteria'!N100</f>
        <v>2001-077</v>
      </c>
      <c r="O1258" s="457" t="str">
        <f>'Part VIII-Threshold Criteria'!O100</f>
        <v>Columbia Peoplestown</v>
      </c>
      <c r="P1258" s="457">
        <f>'Part VIII-Threshold Criteria'!P100</f>
        <v>0</v>
      </c>
      <c r="Q1258" s="457">
        <f>'Part VIII-Threshold Criteria'!Q100</f>
        <v>0</v>
      </c>
    </row>
    <row r="1259" spans="1:22">
      <c r="C1259" s="2098" t="s">
        <v>1717</v>
      </c>
      <c r="D1259" s="1314">
        <f>'Part VIII-Threshold Criteria'!D101</f>
        <v>2009</v>
      </c>
      <c r="E1259" s="457" t="str">
        <f>'Part VIII-Threshold Criteria'!E101</f>
        <v>The Station at Richmond Hill</v>
      </c>
      <c r="F1259" s="457">
        <f>'Part VIII-Threshold Criteria'!F101</f>
        <v>0</v>
      </c>
      <c r="G1259" s="457">
        <f>'Part VIII-Threshold Criteria'!G101</f>
        <v>0</v>
      </c>
      <c r="H1259" s="2098" t="s">
        <v>2336</v>
      </c>
      <c r="I1259" s="1314">
        <f>'Part VIII-Threshold Criteria'!I101</f>
        <v>2003</v>
      </c>
      <c r="J1259" s="457" t="str">
        <f>'Part VIII-Threshold Criteria'!J101</f>
        <v>Crogman School Lofts</v>
      </c>
      <c r="K1259" s="457">
        <f>'Part VIII-Threshold Criteria'!K101</f>
        <v>0</v>
      </c>
      <c r="L1259" s="457">
        <f>'Part VIII-Threshold Criteria'!L101</f>
        <v>0</v>
      </c>
      <c r="M1259" s="2098" t="s">
        <v>1531</v>
      </c>
      <c r="N1259" s="1314" t="str">
        <f>'Part VIII-Threshold Criteria'!N101</f>
        <v>2013-051</v>
      </c>
      <c r="O1259" s="457" t="str">
        <f>'Part VIII-Threshold Criteria'!O101</f>
        <v>Boyoton Village</v>
      </c>
      <c r="P1259" s="457">
        <f>'Part VIII-Threshold Criteria'!P101</f>
        <v>0</v>
      </c>
      <c r="Q1259" s="457">
        <f>'Part VIII-Threshold Criteria'!Q101</f>
        <v>0</v>
      </c>
    </row>
    <row r="1260" spans="1:22">
      <c r="A1260" s="2098" t="s">
        <v>1715</v>
      </c>
      <c r="B1260" s="457" t="s">
        <v>0</v>
      </c>
      <c r="D1260" s="2031"/>
      <c r="E1260" s="2031"/>
      <c r="F1260" s="2031"/>
      <c r="G1260" s="2031"/>
      <c r="H1260" s="2031"/>
      <c r="I1260" s="1311"/>
      <c r="J1260" s="1311"/>
      <c r="K1260" s="2031"/>
      <c r="L1260" s="1994"/>
      <c r="M1260" s="1994"/>
      <c r="O1260" s="2098" t="s">
        <v>1715</v>
      </c>
      <c r="P1260" s="1314" t="str">
        <f>'Part VIII-Threshold Criteria'!P102</f>
        <v>Yes</v>
      </c>
      <c r="Q1260" s="1314"/>
    </row>
    <row r="1261" spans="1:22">
      <c r="B1261" s="2010" t="s">
        <v>3644</v>
      </c>
      <c r="D1261" s="2010"/>
      <c r="E1261" s="2010"/>
      <c r="F1261" s="2010"/>
      <c r="G1261" s="2010"/>
      <c r="H1261" s="2009"/>
      <c r="I1261" s="1314"/>
      <c r="J1261" s="1314"/>
      <c r="K1261" s="1314"/>
      <c r="L1261" s="1958"/>
      <c r="M1261" s="1958"/>
      <c r="N1261" s="1958"/>
      <c r="O1261" s="1958"/>
      <c r="P1261" s="1958"/>
      <c r="Q1261" s="1958"/>
    </row>
    <row r="1262" spans="1:22" ht="326.39999999999998">
      <c r="A1262" s="2064" t="str">
        <f>'Part VIII-Threshold Criteria'!A104</f>
        <v xml:space="preserve">The development will include 84 units.  The primary market has a tax credit occupancy of 97.7%,  a market rate occupancy of 95.7, and an overall Market Occupancy rate of 96.90%, demonstrating a very healthy market environment. The overall caputre rateis 8.3%.  There are no DCA funded properties within 1-mile of Haven site in the past 10 years. </v>
      </c>
      <c r="B1262" s="2064"/>
      <c r="C1262" s="2064"/>
      <c r="D1262" s="2064"/>
      <c r="E1262" s="2064"/>
      <c r="F1262" s="2064"/>
      <c r="G1262" s="2064"/>
      <c r="H1262" s="2064"/>
      <c r="I1262" s="2064"/>
      <c r="J1262" s="2064"/>
      <c r="K1262" s="2064"/>
      <c r="L1262" s="2064"/>
      <c r="M1262" s="2064"/>
      <c r="N1262" s="2064"/>
      <c r="O1262" s="2064"/>
      <c r="P1262" s="2064"/>
      <c r="Q1262" s="2064"/>
      <c r="U1262" s="1957"/>
      <c r="V1262" s="1957"/>
    </row>
    <row r="1263" spans="1:22">
      <c r="B1263" s="2066" t="s">
        <v>1841</v>
      </c>
      <c r="C1263" s="2067"/>
      <c r="D1263" s="2068"/>
      <c r="E1263" s="2068"/>
      <c r="F1263" s="2068"/>
      <c r="G1263" s="2068"/>
      <c r="H1263" s="2068"/>
      <c r="I1263" s="2068"/>
      <c r="J1263" s="2068"/>
      <c r="K1263" s="2068"/>
      <c r="L1263" s="2068"/>
      <c r="M1263" s="2068"/>
      <c r="N1263" s="2068"/>
      <c r="O1263" s="2068"/>
      <c r="P1263" s="2068"/>
      <c r="Q1263" s="2068"/>
    </row>
    <row r="1264" spans="1:22">
      <c r="A1264" s="2064">
        <f>'Part VIII-Threshold Criteria'!A106</f>
        <v>0</v>
      </c>
      <c r="B1264" s="2064"/>
      <c r="C1264" s="2064"/>
      <c r="D1264" s="2064"/>
      <c r="E1264" s="2064"/>
      <c r="F1264" s="2064"/>
      <c r="G1264" s="2064"/>
      <c r="H1264" s="2064"/>
      <c r="I1264" s="2064"/>
      <c r="J1264" s="2064"/>
      <c r="K1264" s="2064"/>
      <c r="L1264" s="2064"/>
      <c r="M1264" s="2064"/>
      <c r="N1264" s="2064"/>
      <c r="O1264" s="2064"/>
      <c r="P1264" s="2064"/>
      <c r="Q1264" s="2064"/>
    </row>
    <row r="1265" spans="1:22">
      <c r="A1265" s="1949" t="s">
        <v>522</v>
      </c>
      <c r="B1265" s="1949" t="s">
        <v>2617</v>
      </c>
      <c r="C1265" s="1949"/>
      <c r="D1265" s="2068"/>
      <c r="E1265" s="2068"/>
      <c r="F1265" s="2068"/>
      <c r="G1265" s="2068"/>
      <c r="H1265" s="2068"/>
      <c r="I1265" s="2068"/>
      <c r="J1265" s="2068"/>
      <c r="K1265" s="2068"/>
      <c r="L1265" s="2068"/>
      <c r="M1265" s="2068"/>
      <c r="O1265" s="2062" t="s">
        <v>1842</v>
      </c>
      <c r="P1265" s="1957"/>
      <c r="Q1265" s="1957"/>
    </row>
    <row r="1267" spans="1:22">
      <c r="B1267" s="1051" t="s">
        <v>4605</v>
      </c>
      <c r="P1267" s="1314" t="str">
        <f>'Part VIII-Threshold Criteria'!P109</f>
        <v>Yes</v>
      </c>
      <c r="Q1267" s="1314"/>
    </row>
    <row r="1268" spans="1:22">
      <c r="A1268" s="2098" t="s">
        <v>1957</v>
      </c>
      <c r="B1268" s="457" t="s">
        <v>488</v>
      </c>
      <c r="C1268" s="457"/>
      <c r="E1268" s="457"/>
      <c r="F1268" s="457"/>
      <c r="G1268" s="457"/>
      <c r="H1268" s="457"/>
      <c r="I1268" s="457"/>
      <c r="J1268" s="457"/>
      <c r="K1268" s="457"/>
      <c r="L1268" s="457"/>
      <c r="M1268" s="457"/>
      <c r="O1268" s="2098" t="s">
        <v>1957</v>
      </c>
      <c r="P1268" s="1314" t="str">
        <f>'Part VIII-Threshold Criteria'!P110</f>
        <v>Yes</v>
      </c>
      <c r="Q1268" s="1314"/>
    </row>
    <row r="1269" spans="1:22">
      <c r="A1269" s="2098" t="s">
        <v>1959</v>
      </c>
      <c r="B1269" s="457" t="s">
        <v>1289</v>
      </c>
      <c r="C1269" s="457"/>
      <c r="E1269" s="457"/>
      <c r="F1269" s="457"/>
      <c r="G1269" s="457"/>
      <c r="H1269" s="457"/>
      <c r="I1269" s="457"/>
      <c r="J1269" s="457"/>
      <c r="K1269" s="457"/>
      <c r="L1269" s="2009"/>
      <c r="M1269" s="2009"/>
      <c r="O1269" s="2098" t="s">
        <v>1959</v>
      </c>
      <c r="P1269" s="1314" t="str">
        <f>'Part VIII-Threshold Criteria'!P111</f>
        <v>Yes</v>
      </c>
      <c r="Q1269" s="1314"/>
    </row>
    <row r="1270" spans="1:22">
      <c r="A1270" s="457"/>
      <c r="B1270" s="457" t="s">
        <v>545</v>
      </c>
      <c r="E1270" s="1311"/>
      <c r="F1270" s="1311"/>
      <c r="G1270" s="1311"/>
      <c r="H1270" s="1311"/>
      <c r="I1270" s="1311"/>
      <c r="L1270" s="2098" t="s">
        <v>546</v>
      </c>
      <c r="M1270" s="457" t="str">
        <f>'Part VIII-Threshold Criteria'!M112</f>
        <v>Everson, Huber &amp; Associates, LC</v>
      </c>
      <c r="N1270" s="457">
        <f>'Part VIII-Threshold Criteria'!N112</f>
        <v>0</v>
      </c>
      <c r="O1270" s="457">
        <f>'Part VIII-Threshold Criteria'!O112</f>
        <v>0</v>
      </c>
      <c r="P1270" s="1311">
        <f>'Part VIII-Threshold Criteria'!P112</f>
        <v>0</v>
      </c>
      <c r="Q1270" s="1314"/>
    </row>
    <row r="1271" spans="1:22">
      <c r="A1271" s="1314"/>
      <c r="B1271" s="2100" t="s">
        <v>1716</v>
      </c>
      <c r="C1271" s="2009" t="s">
        <v>4429</v>
      </c>
      <c r="D1271" s="1949"/>
      <c r="E1271" s="1949"/>
      <c r="F1271" s="1949"/>
      <c r="G1271" s="1949"/>
      <c r="H1271" s="1949"/>
      <c r="I1271" s="1949"/>
      <c r="J1271" s="1949"/>
      <c r="K1271" s="1949"/>
      <c r="L1271" s="1949"/>
      <c r="M1271" s="1949"/>
      <c r="O1271" s="2095" t="s">
        <v>1716</v>
      </c>
      <c r="P1271" s="1314" t="str">
        <f>'Part VIII-Threshold Criteria'!P113</f>
        <v>Yes</v>
      </c>
      <c r="Q1271" s="1314"/>
    </row>
    <row r="1272" spans="1:22">
      <c r="A1272" s="1314"/>
      <c r="B1272" s="2009" t="s">
        <v>1717</v>
      </c>
      <c r="C1272" s="2009" t="s">
        <v>3404</v>
      </c>
      <c r="D1272" s="1949"/>
      <c r="E1272" s="1949"/>
      <c r="F1272" s="1949"/>
      <c r="G1272" s="1949"/>
      <c r="H1272" s="1949"/>
      <c r="I1272" s="1949"/>
      <c r="J1272" s="1949"/>
      <c r="K1272" s="1949"/>
      <c r="L1272" s="1949"/>
      <c r="M1272" s="1949"/>
      <c r="O1272" s="2098" t="s">
        <v>1717</v>
      </c>
      <c r="P1272" s="1314" t="str">
        <f>'Part VIII-Threshold Criteria'!P114</f>
        <v>Yes</v>
      </c>
      <c r="Q1272" s="1314"/>
    </row>
    <row r="1273" spans="1:22">
      <c r="A1273" s="1314"/>
      <c r="B1273" s="2100" t="s">
        <v>1718</v>
      </c>
      <c r="C1273" s="2009" t="s">
        <v>3405</v>
      </c>
      <c r="D1273" s="1949"/>
      <c r="E1273" s="1949"/>
      <c r="F1273" s="1949"/>
      <c r="G1273" s="1949"/>
      <c r="H1273" s="1949"/>
      <c r="I1273" s="1949"/>
      <c r="J1273" s="1949"/>
      <c r="K1273" s="1949"/>
      <c r="L1273" s="1949"/>
      <c r="M1273" s="1949"/>
      <c r="O1273" s="2095" t="s">
        <v>1718</v>
      </c>
      <c r="P1273" s="1314" t="str">
        <f>'Part VIII-Threshold Criteria'!P115</f>
        <v>Yes</v>
      </c>
      <c r="Q1273" s="1314"/>
    </row>
    <row r="1274" spans="1:22">
      <c r="A1274" s="1314"/>
      <c r="B1274" s="2100" t="s">
        <v>2336</v>
      </c>
      <c r="C1274" s="2009" t="s">
        <v>2825</v>
      </c>
      <c r="D1274" s="2009"/>
      <c r="E1274" s="2009"/>
      <c r="F1274" s="2009"/>
      <c r="G1274" s="2009"/>
      <c r="H1274" s="2009"/>
      <c r="I1274" s="2009"/>
      <c r="J1274" s="2009"/>
      <c r="K1274" s="2009"/>
      <c r="L1274" s="2009"/>
      <c r="M1274" s="1963"/>
      <c r="O1274" s="2095" t="s">
        <v>2336</v>
      </c>
      <c r="P1274" s="1314" t="str">
        <f>'Part VIII-Threshold Criteria'!P116</f>
        <v>Yes</v>
      </c>
      <c r="Q1274" s="1314"/>
    </row>
    <row r="1275" spans="1:22" ht="12.75" customHeight="1">
      <c r="A1275" s="2096"/>
      <c r="B1275" s="2100" t="s">
        <v>1530</v>
      </c>
      <c r="C1275" s="2064" t="s">
        <v>2652</v>
      </c>
      <c r="D1275" s="2064"/>
      <c r="E1275" s="2064"/>
      <c r="F1275" s="2064"/>
      <c r="G1275" s="2064"/>
      <c r="H1275" s="2064"/>
      <c r="I1275" s="2064"/>
      <c r="J1275" s="2064"/>
      <c r="K1275" s="2064"/>
      <c r="L1275" s="2064"/>
      <c r="M1275" s="2064"/>
      <c r="N1275" s="2064"/>
      <c r="O1275" s="2095" t="s">
        <v>1530</v>
      </c>
      <c r="P1275" s="2096">
        <f>'Part VIII-Threshold Criteria'!P117</f>
        <v>0</v>
      </c>
      <c r="Q1275" s="2096"/>
      <c r="R1275" s="2006"/>
      <c r="S1275" s="2006"/>
      <c r="T1275" s="2006"/>
      <c r="U1275" s="2006"/>
      <c r="V1275" s="2006"/>
    </row>
    <row r="1276" spans="1:22">
      <c r="A1276" s="2098" t="s">
        <v>738</v>
      </c>
      <c r="B1276" s="457" t="s">
        <v>144</v>
      </c>
      <c r="D1276" s="457"/>
      <c r="E1276" s="457"/>
      <c r="F1276" s="457"/>
      <c r="G1276" s="457"/>
      <c r="H1276" s="457"/>
      <c r="I1276" s="457"/>
      <c r="J1276" s="457"/>
      <c r="K1276" s="457"/>
      <c r="L1276" s="457"/>
      <c r="M1276" s="457"/>
      <c r="O1276" s="2098" t="s">
        <v>738</v>
      </c>
      <c r="P1276" s="1314" t="str">
        <f>'Part VIII-Threshold Criteria'!P118</f>
        <v>No</v>
      </c>
      <c r="Q1276" s="1314"/>
    </row>
    <row r="1277" spans="1:22">
      <c r="A1277" s="2098" t="s">
        <v>2088</v>
      </c>
      <c r="B1277" s="457" t="s">
        <v>1412</v>
      </c>
      <c r="D1277" s="457"/>
      <c r="E1277" s="457"/>
      <c r="G1277" s="457"/>
      <c r="I1277" s="457"/>
      <c r="K1277" s="457"/>
      <c r="L1277" s="2009"/>
      <c r="M1277" s="2009"/>
      <c r="N1277" s="2009"/>
      <c r="O1277" s="2098" t="s">
        <v>2088</v>
      </c>
      <c r="P1277" s="2009"/>
      <c r="Q1277" s="2009"/>
    </row>
    <row r="1278" spans="1:22">
      <c r="B1278" s="2009" t="s">
        <v>1716</v>
      </c>
      <c r="C1278" s="457" t="s">
        <v>1413</v>
      </c>
      <c r="E1278" s="457"/>
      <c r="F1278" s="457"/>
      <c r="G1278" s="457"/>
      <c r="H1278" s="457"/>
      <c r="I1278" s="457"/>
      <c r="J1278" s="457"/>
      <c r="K1278" s="457"/>
      <c r="L1278" s="2009"/>
      <c r="M1278" s="2009"/>
      <c r="O1278" s="2098" t="s">
        <v>1716</v>
      </c>
      <c r="P1278" s="1314" t="str">
        <f>'Part VIII-Threshold Criteria'!P120</f>
        <v>Yes</v>
      </c>
      <c r="Q1278" s="1314"/>
    </row>
    <row r="1279" spans="1:22">
      <c r="B1279" s="2009" t="s">
        <v>1717</v>
      </c>
      <c r="C1279" s="457" t="s">
        <v>1414</v>
      </c>
      <c r="E1279" s="457"/>
      <c r="F1279" s="457"/>
      <c r="G1279" s="457"/>
      <c r="H1279" s="457"/>
      <c r="I1279" s="457"/>
      <c r="J1279" s="457"/>
      <c r="K1279" s="457"/>
      <c r="L1279" s="2009"/>
      <c r="M1279" s="2009"/>
      <c r="O1279" s="2098" t="s">
        <v>1717</v>
      </c>
      <c r="P1279" s="1314" t="str">
        <f>'Part VIII-Threshold Criteria'!P121</f>
        <v>No</v>
      </c>
      <c r="Q1279" s="1314"/>
    </row>
    <row r="1280" spans="1:22">
      <c r="B1280" s="2009" t="s">
        <v>1718</v>
      </c>
      <c r="C1280" s="457" t="s">
        <v>1415</v>
      </c>
      <c r="E1280" s="457"/>
      <c r="F1280" s="457"/>
      <c r="G1280" s="457"/>
      <c r="H1280" s="457"/>
      <c r="I1280" s="457"/>
      <c r="J1280" s="457"/>
      <c r="K1280" s="457"/>
      <c r="L1280" s="2009"/>
      <c r="M1280" s="2009"/>
      <c r="O1280" s="2098" t="s">
        <v>1718</v>
      </c>
      <c r="P1280" s="1314" t="str">
        <f>'Part VIII-Threshold Criteria'!P122</f>
        <v>No</v>
      </c>
      <c r="Q1280" s="1314"/>
    </row>
    <row r="1281" spans="1:22">
      <c r="B1281" s="2010" t="s">
        <v>3644</v>
      </c>
      <c r="D1281" s="2010"/>
      <c r="E1281" s="2010"/>
      <c r="F1281" s="2010"/>
      <c r="G1281" s="2010"/>
      <c r="H1281" s="2009"/>
      <c r="I1281" s="1314"/>
      <c r="J1281" s="1314"/>
      <c r="K1281" s="1314"/>
      <c r="L1281" s="1958"/>
      <c r="M1281" s="1958"/>
      <c r="N1281" s="1958"/>
      <c r="O1281" s="1958"/>
      <c r="P1281" s="1958"/>
      <c r="Q1281" s="1958"/>
    </row>
    <row r="1282" spans="1:22" ht="326.39999999999998">
      <c r="A1282" s="2064" t="str">
        <f>'Part VIII-Threshold Criteria'!A124</f>
        <v>Everson, Huber &amp; Associates has completed an appraisal in conformance with DCA's appraisal guidelines. The land value as of May 15, 2019 is $300,000 which supports the purchase price. There is an identity of interest between the land owner and purchaser because FCS Urban Ministries is a project member in the development.</v>
      </c>
      <c r="B1282" s="2064"/>
      <c r="C1282" s="2064"/>
      <c r="D1282" s="2064"/>
      <c r="E1282" s="2064"/>
      <c r="F1282" s="2064"/>
      <c r="G1282" s="2064"/>
      <c r="H1282" s="2064"/>
      <c r="I1282" s="2064"/>
      <c r="J1282" s="2064"/>
      <c r="K1282" s="2064"/>
      <c r="L1282" s="2064"/>
      <c r="M1282" s="2064"/>
      <c r="N1282" s="2064"/>
      <c r="O1282" s="2064"/>
      <c r="P1282" s="2064"/>
      <c r="Q1282" s="2064"/>
      <c r="U1282" s="1957"/>
      <c r="V1282" s="1957"/>
    </row>
    <row r="1283" spans="1:22">
      <c r="B1283" s="2066" t="s">
        <v>1841</v>
      </c>
      <c r="C1283" s="2067"/>
      <c r="D1283" s="2068"/>
      <c r="E1283" s="2068"/>
      <c r="F1283" s="2068"/>
      <c r="G1283" s="2068"/>
      <c r="H1283" s="2068"/>
      <c r="I1283" s="2068"/>
      <c r="J1283" s="2068"/>
      <c r="K1283" s="2068"/>
      <c r="L1283" s="2068"/>
      <c r="M1283" s="2068"/>
      <c r="N1283" s="2068"/>
      <c r="O1283" s="2068"/>
      <c r="P1283" s="2068"/>
      <c r="Q1283" s="2068"/>
    </row>
    <row r="1284" spans="1:22">
      <c r="A1284" s="2064">
        <f>'Part VIII-Threshold Criteria'!A126</f>
        <v>0</v>
      </c>
      <c r="B1284" s="2064"/>
      <c r="C1284" s="2064"/>
      <c r="D1284" s="2064"/>
      <c r="E1284" s="2064"/>
      <c r="F1284" s="2064"/>
      <c r="G1284" s="2064"/>
      <c r="H1284" s="2064"/>
      <c r="I1284" s="2064"/>
      <c r="J1284" s="2064"/>
      <c r="K1284" s="2064"/>
      <c r="L1284" s="2064"/>
      <c r="M1284" s="2064"/>
      <c r="N1284" s="2064"/>
      <c r="O1284" s="2064"/>
      <c r="P1284" s="2064"/>
      <c r="Q1284" s="2064"/>
    </row>
    <row r="1285" spans="1:22">
      <c r="A1285" s="1949" t="s">
        <v>761</v>
      </c>
      <c r="B1285" s="1949" t="s">
        <v>2618</v>
      </c>
      <c r="C1285" s="2009"/>
      <c r="D1285" s="2068"/>
      <c r="E1285" s="2068"/>
      <c r="F1285" s="2068"/>
      <c r="G1285" s="2068"/>
      <c r="H1285" s="2068"/>
      <c r="I1285" s="2068"/>
      <c r="J1285" s="2068"/>
      <c r="K1285" s="2068"/>
      <c r="L1285" s="2068"/>
      <c r="M1285" s="2068"/>
      <c r="O1285" s="2062" t="s">
        <v>1842</v>
      </c>
      <c r="P1285" s="1957"/>
      <c r="Q1285" s="1957"/>
    </row>
    <row r="1287" spans="1:22">
      <c r="A1287" s="2098" t="s">
        <v>1957</v>
      </c>
      <c r="B1287" s="457" t="s">
        <v>3543</v>
      </c>
      <c r="D1287" s="2031"/>
      <c r="E1287" s="2031"/>
      <c r="F1287" s="2031"/>
      <c r="G1287" s="2031"/>
      <c r="H1287" s="2031"/>
      <c r="I1287" s="1311"/>
      <c r="J1287" s="1311"/>
      <c r="K1287" s="2098" t="s">
        <v>1957</v>
      </c>
      <c r="L1287" s="1957" t="str">
        <f>'Part VIII-Threshold Criteria'!L129</f>
        <v>RMY Consulting</v>
      </c>
      <c r="M1287" s="1957">
        <f>'Part VIII-Threshold Criteria'!M129</f>
        <v>0</v>
      </c>
      <c r="N1287" s="1957">
        <f>'Part VIII-Threshold Criteria'!N129</f>
        <v>0</v>
      </c>
      <c r="O1287" s="1957">
        <f>'Part VIII-Threshold Criteria'!O129</f>
        <v>0</v>
      </c>
      <c r="P1287" s="1957">
        <f>'Part VIII-Threshold Criteria'!P129</f>
        <v>0</v>
      </c>
      <c r="Q1287" s="1314"/>
    </row>
    <row r="1288" spans="1:22">
      <c r="A1288" s="2098" t="s">
        <v>1959</v>
      </c>
      <c r="B1288" s="457" t="s">
        <v>1519</v>
      </c>
      <c r="D1288" s="2031"/>
      <c r="E1288" s="2031"/>
      <c r="F1288" s="2031"/>
      <c r="G1288" s="2031"/>
      <c r="H1288" s="2031"/>
      <c r="I1288" s="1311"/>
      <c r="J1288" s="1311"/>
      <c r="K1288" s="2031"/>
      <c r="L1288" s="1994"/>
      <c r="O1288" s="2098" t="s">
        <v>1959</v>
      </c>
      <c r="P1288" s="1314" t="str">
        <f>'Part VIII-Threshold Criteria'!P130</f>
        <v>No</v>
      </c>
      <c r="Q1288" s="1314"/>
    </row>
    <row r="1289" spans="1:22">
      <c r="A1289" s="2098" t="s">
        <v>738</v>
      </c>
      <c r="B1289" s="457" t="s">
        <v>149</v>
      </c>
      <c r="D1289" s="2031"/>
      <c r="E1289" s="2031"/>
      <c r="F1289" s="2031"/>
      <c r="G1289" s="2031"/>
      <c r="H1289" s="2031"/>
      <c r="I1289" s="1311"/>
      <c r="J1289" s="1311"/>
      <c r="K1289" s="1994"/>
      <c r="L1289" s="1994"/>
      <c r="O1289" s="2098" t="s">
        <v>738</v>
      </c>
      <c r="P1289" s="1314" t="str">
        <f>'Part VIII-Threshold Criteria'!P131</f>
        <v>Yes</v>
      </c>
      <c r="Q1289" s="1314"/>
    </row>
    <row r="1290" spans="1:22">
      <c r="A1290" s="2098"/>
      <c r="B1290" s="2009" t="s">
        <v>1716</v>
      </c>
      <c r="C1290" s="457" t="s">
        <v>2651</v>
      </c>
      <c r="E1290" s="2031"/>
      <c r="F1290" s="2031"/>
      <c r="G1290" s="2031"/>
      <c r="H1290" s="2031"/>
      <c r="I1290" s="1311"/>
      <c r="J1290" s="1311"/>
      <c r="K1290" s="2098" t="s">
        <v>1716</v>
      </c>
      <c r="L1290" s="1957" t="str">
        <f>'Part VIII-Threshold Criteria'!L132</f>
        <v>Harry Walls Environmental Consulting</v>
      </c>
      <c r="M1290" s="1957">
        <f>'Part VIII-Threshold Criteria'!M132</f>
        <v>0</v>
      </c>
      <c r="N1290" s="1957">
        <f>'Part VIII-Threshold Criteria'!N132</f>
        <v>0</v>
      </c>
      <c r="O1290" s="1957">
        <f>'Part VIII-Threshold Criteria'!O132</f>
        <v>0</v>
      </c>
      <c r="P1290" s="1957">
        <f>'Part VIII-Threshold Criteria'!P132</f>
        <v>0</v>
      </c>
      <c r="Q1290" s="1314"/>
    </row>
    <row r="1291" spans="1:22">
      <c r="A1291" s="1981"/>
      <c r="B1291" s="2009" t="s">
        <v>1717</v>
      </c>
      <c r="C1291" s="457" t="s">
        <v>3406</v>
      </c>
      <c r="E1291" s="1311"/>
      <c r="F1291" s="1311"/>
      <c r="G1291" s="1311"/>
      <c r="H1291" s="457"/>
      <c r="I1291" s="1311"/>
      <c r="J1291" s="1311"/>
      <c r="K1291" s="2031"/>
      <c r="L1291" s="1994"/>
      <c r="M1291" s="1994"/>
      <c r="O1291" s="2098" t="s">
        <v>1717</v>
      </c>
      <c r="P1291" s="1314">
        <f>'Part VIII-Threshold Criteria'!P133</f>
        <v>60.5</v>
      </c>
      <c r="Q1291" s="1314"/>
    </row>
    <row r="1292" spans="1:22">
      <c r="A1292" s="1981"/>
      <c r="B1292" s="2009" t="s">
        <v>1718</v>
      </c>
      <c r="C1292" s="457" t="s">
        <v>4413</v>
      </c>
      <c r="E1292" s="1311"/>
      <c r="F1292" s="1311"/>
      <c r="G1292" s="1311"/>
      <c r="H1292" s="457"/>
      <c r="I1292" s="1311"/>
      <c r="J1292" s="1311"/>
      <c r="K1292" s="2031"/>
      <c r="L1292" s="1994"/>
      <c r="M1292" s="1994"/>
      <c r="O1292" s="2098" t="s">
        <v>1718</v>
      </c>
      <c r="P1292" s="1314">
        <f>'Part VIII-Threshold Criteria'!P134</f>
        <v>0</v>
      </c>
      <c r="Q1292" s="1314"/>
    </row>
    <row r="1293" spans="1:22">
      <c r="A1293" s="2098" t="s">
        <v>2088</v>
      </c>
      <c r="B1293" s="457" t="s">
        <v>1245</v>
      </c>
      <c r="D1293" s="2031"/>
      <c r="E1293" s="2031"/>
      <c r="F1293" s="2031"/>
      <c r="G1293" s="2031"/>
      <c r="H1293" s="2031"/>
      <c r="I1293" s="1311"/>
      <c r="J1293" s="1311"/>
      <c r="K1293" s="2031"/>
      <c r="L1293" s="1994"/>
      <c r="M1293" s="1994"/>
      <c r="N1293" s="1994"/>
      <c r="O1293" s="2098" t="s">
        <v>2088</v>
      </c>
    </row>
    <row r="1294" spans="1:22">
      <c r="A1294" s="2098"/>
      <c r="B1294" s="2009" t="s">
        <v>1716</v>
      </c>
      <c r="C1294" s="457" t="s">
        <v>147</v>
      </c>
      <c r="E1294" s="2031"/>
      <c r="F1294" s="2031"/>
      <c r="G1294" s="2031"/>
      <c r="H1294" s="2031"/>
      <c r="I1294" s="1311"/>
      <c r="J1294" s="1311"/>
      <c r="K1294" s="2031"/>
      <c r="L1294" s="1994"/>
      <c r="M1294" s="1994"/>
      <c r="O1294" s="2098" t="s">
        <v>1716</v>
      </c>
      <c r="P1294" s="1314" t="str">
        <f>'Part VIII-Threshold Criteria'!P136</f>
        <v>No</v>
      </c>
      <c r="Q1294" s="1314"/>
    </row>
    <row r="1295" spans="1:22">
      <c r="A1295" s="2098"/>
      <c r="B1295" s="2009" t="s">
        <v>1717</v>
      </c>
      <c r="C1295" s="457" t="s">
        <v>1246</v>
      </c>
      <c r="E1295" s="2031"/>
      <c r="F1295" s="2031"/>
      <c r="G1295" s="2031"/>
      <c r="H1295" s="1311"/>
      <c r="I1295" s="1311"/>
      <c r="J1295" s="1311"/>
      <c r="K1295" s="2031"/>
      <c r="L1295" s="1994"/>
      <c r="M1295" s="1994"/>
      <c r="O1295" s="2098" t="s">
        <v>1717</v>
      </c>
      <c r="P1295" s="1314" t="str">
        <f>'Part VIII-Threshold Criteria'!P137</f>
        <v>No</v>
      </c>
      <c r="Q1295" s="1314"/>
    </row>
    <row r="1296" spans="1:22">
      <c r="A1296" s="2098"/>
      <c r="B1296" s="2009"/>
      <c r="C1296" s="457" t="s">
        <v>2597</v>
      </c>
      <c r="E1296" s="2098" t="s">
        <v>2403</v>
      </c>
      <c r="F1296" s="457" t="s">
        <v>2598</v>
      </c>
      <c r="G1296" s="1311"/>
      <c r="H1296" s="457"/>
      <c r="I1296" s="1311"/>
      <c r="J1296" s="1311"/>
      <c r="K1296" s="2031"/>
      <c r="L1296" s="1994"/>
      <c r="M1296" s="1994"/>
      <c r="O1296" s="2098" t="s">
        <v>2403</v>
      </c>
      <c r="P1296" s="2107">
        <f>'Part VIII-Threshold Criteria'!P138</f>
        <v>0</v>
      </c>
      <c r="Q1296" s="2107"/>
    </row>
    <row r="1297" spans="1:17">
      <c r="A1297" s="2098"/>
      <c r="B1297" s="2009"/>
      <c r="E1297" s="2098" t="s">
        <v>2404</v>
      </c>
      <c r="F1297" s="457" t="s">
        <v>2599</v>
      </c>
      <c r="G1297" s="1311"/>
      <c r="H1297" s="457"/>
      <c r="I1297" s="1311"/>
      <c r="J1297" s="1311"/>
      <c r="K1297" s="2031"/>
      <c r="L1297" s="1994"/>
      <c r="M1297" s="1994"/>
      <c r="O1297" s="2098" t="s">
        <v>2404</v>
      </c>
      <c r="P1297" s="1314">
        <f>'Part VIII-Threshold Criteria'!P139</f>
        <v>0</v>
      </c>
      <c r="Q1297" s="1314"/>
    </row>
    <row r="1298" spans="1:17">
      <c r="A1298" s="2098"/>
      <c r="B1298" s="2009"/>
      <c r="E1298" s="2098" t="s">
        <v>2405</v>
      </c>
      <c r="F1298" s="457" t="s">
        <v>2600</v>
      </c>
      <c r="G1298" s="1311"/>
      <c r="H1298" s="457"/>
      <c r="I1298" s="1311"/>
      <c r="J1298" s="1311"/>
      <c r="K1298" s="2031"/>
      <c r="L1298" s="1994"/>
      <c r="M1298" s="1994"/>
      <c r="O1298" s="2098" t="s">
        <v>2405</v>
      </c>
      <c r="P1298" s="1314">
        <f>'Part VIII-Threshold Criteria'!P140</f>
        <v>0</v>
      </c>
      <c r="Q1298" s="1314"/>
    </row>
    <row r="1299" spans="1:17">
      <c r="A1299" s="2098"/>
      <c r="B1299" s="2009" t="s">
        <v>1718</v>
      </c>
      <c r="C1299" s="457" t="s">
        <v>1247</v>
      </c>
      <c r="E1299" s="2031"/>
      <c r="F1299" s="2031"/>
      <c r="G1299" s="2031"/>
      <c r="H1299" s="457"/>
      <c r="I1299" s="1311"/>
      <c r="J1299" s="1311"/>
      <c r="K1299" s="2031"/>
      <c r="L1299" s="1994"/>
      <c r="M1299" s="1994"/>
      <c r="O1299" s="2098" t="s">
        <v>1718</v>
      </c>
      <c r="P1299" s="1314" t="str">
        <f>'Part VIII-Threshold Criteria'!P141</f>
        <v>No</v>
      </c>
      <c r="Q1299" s="1314"/>
    </row>
    <row r="1300" spans="1:17">
      <c r="A1300" s="2098"/>
      <c r="B1300" s="2098"/>
      <c r="C1300" s="457" t="s">
        <v>2597</v>
      </c>
      <c r="E1300" s="2098" t="s">
        <v>2403</v>
      </c>
      <c r="F1300" s="457" t="s">
        <v>2601</v>
      </c>
      <c r="G1300" s="1311"/>
      <c r="H1300" s="457"/>
      <c r="I1300" s="1311"/>
      <c r="J1300" s="1311"/>
      <c r="K1300" s="2031"/>
      <c r="L1300" s="1994"/>
      <c r="O1300" s="2098" t="s">
        <v>2403</v>
      </c>
      <c r="P1300" s="2107">
        <f>'Part VIII-Threshold Criteria'!P142</f>
        <v>0</v>
      </c>
      <c r="Q1300" s="2107"/>
    </row>
    <row r="1301" spans="1:17">
      <c r="A1301" s="2098"/>
      <c r="B1301" s="2098"/>
      <c r="E1301" s="2098" t="s">
        <v>2404</v>
      </c>
      <c r="F1301" s="457" t="s">
        <v>2602</v>
      </c>
      <c r="G1301" s="1311"/>
      <c r="H1301" s="457"/>
      <c r="I1301" s="1311"/>
      <c r="J1301" s="1311"/>
      <c r="O1301" s="2098" t="s">
        <v>2404</v>
      </c>
      <c r="P1301" s="1314">
        <f>'Part VIII-Threshold Criteria'!P143</f>
        <v>0</v>
      </c>
      <c r="Q1301" s="1314"/>
    </row>
    <row r="1302" spans="1:17">
      <c r="A1302" s="2098"/>
      <c r="B1302" s="2098"/>
      <c r="E1302" s="2098" t="s">
        <v>2405</v>
      </c>
      <c r="F1302" s="457" t="s">
        <v>2600</v>
      </c>
      <c r="G1302" s="1311"/>
      <c r="H1302" s="457"/>
      <c r="I1302" s="1311"/>
      <c r="J1302" s="1311"/>
      <c r="O1302" s="2098" t="s">
        <v>2405</v>
      </c>
      <c r="P1302" s="1314">
        <f>'Part VIII-Threshold Criteria'!P144</f>
        <v>0</v>
      </c>
      <c r="Q1302" s="1314"/>
    </row>
    <row r="1303" spans="1:17">
      <c r="A1303" s="2098" t="s">
        <v>1714</v>
      </c>
      <c r="B1303" s="2009" t="s">
        <v>2383</v>
      </c>
      <c r="D1303" s="2031"/>
      <c r="E1303" s="2031"/>
      <c r="F1303" s="2031"/>
      <c r="G1303" s="2031"/>
      <c r="H1303" s="2031"/>
      <c r="I1303" s="1311"/>
      <c r="J1303" s="1311"/>
      <c r="K1303" s="2031"/>
      <c r="L1303" s="1994"/>
      <c r="M1303" s="1994"/>
      <c r="N1303" s="1994"/>
      <c r="O1303" s="1994"/>
      <c r="P1303" s="1994"/>
      <c r="Q1303" s="1994"/>
    </row>
    <row r="1304" spans="1:17">
      <c r="B1304" s="2009" t="s">
        <v>1716</v>
      </c>
      <c r="C1304" s="457" t="s">
        <v>2462</v>
      </c>
      <c r="E1304" s="2031"/>
      <c r="F1304" s="1314" t="str">
        <f>'Part VIII-Threshold Criteria'!F146</f>
        <v>Yes</v>
      </c>
      <c r="G1304" s="1314"/>
      <c r="H1304" s="2098" t="s">
        <v>4648</v>
      </c>
      <c r="I1304" s="1051" t="s">
        <v>2604</v>
      </c>
      <c r="L1304" s="1314" t="str">
        <f>'Part VIII-Threshold Criteria'!L146</f>
        <v>No</v>
      </c>
      <c r="M1304" s="1314"/>
      <c r="N1304" s="2098" t="s">
        <v>4652</v>
      </c>
      <c r="O1304" s="457" t="s">
        <v>1533</v>
      </c>
      <c r="P1304" s="1314" t="str">
        <f>'Part VIII-Threshold Criteria'!P146</f>
        <v>No</v>
      </c>
      <c r="Q1304" s="1314"/>
    </row>
    <row r="1305" spans="1:17">
      <c r="A1305" s="457"/>
      <c r="B1305" s="2009" t="s">
        <v>1717</v>
      </c>
      <c r="C1305" s="457" t="s">
        <v>2755</v>
      </c>
      <c r="E1305" s="2031"/>
      <c r="F1305" s="1314" t="str">
        <f>'Part VIII-Threshold Criteria'!F147</f>
        <v>No</v>
      </c>
      <c r="G1305" s="1314"/>
      <c r="H1305" s="2098" t="s">
        <v>4649</v>
      </c>
      <c r="I1305" s="1051" t="s">
        <v>2605</v>
      </c>
      <c r="L1305" s="1314" t="str">
        <f>'Part VIII-Threshold Criteria'!L147</f>
        <v>No</v>
      </c>
      <c r="M1305" s="1314"/>
      <c r="N1305" s="2098" t="s">
        <v>4653</v>
      </c>
      <c r="O1305" s="457" t="s">
        <v>1532</v>
      </c>
      <c r="P1305" s="1314" t="str">
        <f>'Part VIII-Threshold Criteria'!P147</f>
        <v>No</v>
      </c>
      <c r="Q1305" s="1314"/>
    </row>
    <row r="1306" spans="1:17">
      <c r="A1306" s="457"/>
      <c r="B1306" s="2009" t="s">
        <v>1718</v>
      </c>
      <c r="C1306" s="457" t="s">
        <v>2603</v>
      </c>
      <c r="E1306" s="2031"/>
      <c r="F1306" s="1314" t="str">
        <f>'Part VIII-Threshold Criteria'!F148</f>
        <v>No</v>
      </c>
      <c r="G1306" s="1314"/>
      <c r="H1306" s="2098" t="s">
        <v>4650</v>
      </c>
      <c r="I1306" s="1051" t="s">
        <v>3718</v>
      </c>
      <c r="L1306" s="1314" t="str">
        <f>'Part VIII-Threshold Criteria'!L148</f>
        <v>No</v>
      </c>
      <c r="M1306" s="1314"/>
      <c r="N1306" s="2098" t="s">
        <v>4654</v>
      </c>
      <c r="O1306" s="457" t="s">
        <v>1534</v>
      </c>
      <c r="P1306" s="1314" t="str">
        <f>'Part VIII-Threshold Criteria'!P148</f>
        <v>No</v>
      </c>
      <c r="Q1306" s="1314"/>
    </row>
    <row r="1307" spans="1:17">
      <c r="A1307" s="457"/>
      <c r="B1307" s="2009" t="s">
        <v>2336</v>
      </c>
      <c r="C1307" s="457" t="s">
        <v>2757</v>
      </c>
      <c r="E1307" s="2031"/>
      <c r="F1307" s="1314" t="str">
        <f>'Part VIII-Threshold Criteria'!F149</f>
        <v>No</v>
      </c>
      <c r="G1307" s="1314"/>
      <c r="H1307" s="2098" t="s">
        <v>4651</v>
      </c>
      <c r="I1307" s="457" t="s">
        <v>2754</v>
      </c>
      <c r="L1307" s="1314" t="str">
        <f>'Part VIII-Threshold Criteria'!L149</f>
        <v>No</v>
      </c>
      <c r="M1307" s="1314"/>
      <c r="O1307" s="2098"/>
    </row>
    <row r="1308" spans="1:17">
      <c r="A1308" s="457"/>
      <c r="B1308" s="2009" t="s">
        <v>2837</v>
      </c>
      <c r="C1308" s="457" t="s">
        <v>2756</v>
      </c>
      <c r="E1308" s="2031"/>
      <c r="F1308" s="2031"/>
      <c r="G1308" s="2031"/>
      <c r="H1308" s="2031"/>
      <c r="I1308" s="2031"/>
      <c r="J1308" s="2031"/>
      <c r="K1308" s="2031"/>
      <c r="L1308" s="2031"/>
      <c r="M1308" s="457"/>
      <c r="O1308" s="2098"/>
      <c r="P1308" s="2098"/>
    </row>
    <row r="1309" spans="1:17">
      <c r="A1309" s="457"/>
      <c r="C1309" s="2031">
        <f>'Part VIII-Threshold Criteria'!C151</f>
        <v>0</v>
      </c>
      <c r="D1309" s="2031">
        <f>'Part VIII-Threshold Criteria'!D151</f>
        <v>0</v>
      </c>
      <c r="E1309" s="2031">
        <f>'Part VIII-Threshold Criteria'!E151</f>
        <v>0</v>
      </c>
      <c r="F1309" s="2031">
        <f>'Part VIII-Threshold Criteria'!F151</f>
        <v>0</v>
      </c>
      <c r="G1309" s="2031">
        <f>'Part VIII-Threshold Criteria'!G151</f>
        <v>0</v>
      </c>
      <c r="H1309" s="2031">
        <f>'Part VIII-Threshold Criteria'!H151</f>
        <v>0</v>
      </c>
      <c r="I1309" s="2031">
        <f>'Part VIII-Threshold Criteria'!I151</f>
        <v>0</v>
      </c>
      <c r="J1309" s="2031">
        <f>'Part VIII-Threshold Criteria'!J151</f>
        <v>0</v>
      </c>
      <c r="K1309" s="2031">
        <f>'Part VIII-Threshold Criteria'!K151</f>
        <v>0</v>
      </c>
      <c r="L1309" s="2031">
        <f>'Part VIII-Threshold Criteria'!L151</f>
        <v>0</v>
      </c>
      <c r="M1309" s="2031">
        <f>'Part VIII-Threshold Criteria'!M151</f>
        <v>0</v>
      </c>
      <c r="N1309" s="2031">
        <f>'Part VIII-Threshold Criteria'!N151</f>
        <v>0</v>
      </c>
      <c r="O1309" s="2031">
        <f>'Part VIII-Threshold Criteria'!O151</f>
        <v>0</v>
      </c>
      <c r="P1309" s="2031">
        <f>'Part VIII-Threshold Criteria'!P151</f>
        <v>0</v>
      </c>
      <c r="Q1309" s="2031">
        <f>'Part VIII-Threshold Criteria'!Q151</f>
        <v>0</v>
      </c>
    </row>
    <row r="1310" spans="1:17">
      <c r="A1310" s="2098" t="s">
        <v>1715</v>
      </c>
      <c r="B1310" s="457" t="s">
        <v>3499</v>
      </c>
      <c r="D1310" s="2031"/>
      <c r="E1310" s="2031"/>
      <c r="F1310" s="2031"/>
      <c r="G1310" s="2031"/>
      <c r="H1310" s="2031"/>
      <c r="I1310" s="1311"/>
      <c r="J1310" s="1311"/>
      <c r="K1310" s="2031"/>
      <c r="L1310" s="2031"/>
      <c r="M1310" s="1994"/>
    </row>
    <row r="1311" spans="1:17">
      <c r="A1311" s="1311"/>
      <c r="B1311" s="2009" t="s">
        <v>1716</v>
      </c>
      <c r="C1311" s="457" t="s">
        <v>2758</v>
      </c>
      <c r="E1311" s="2031"/>
      <c r="F1311" s="2031"/>
      <c r="G1311" s="2031"/>
      <c r="H1311" s="2031"/>
      <c r="O1311" s="2098" t="s">
        <v>1716</v>
      </c>
      <c r="P1311" s="1314">
        <f>'Part VIII-Threshold Criteria'!P153</f>
        <v>0</v>
      </c>
      <c r="Q1311" s="1314"/>
    </row>
    <row r="1312" spans="1:17">
      <c r="A1312" s="1314"/>
      <c r="B1312" s="2009" t="s">
        <v>1717</v>
      </c>
      <c r="C1312" s="457" t="s">
        <v>485</v>
      </c>
      <c r="E1312" s="457"/>
      <c r="F1312" s="457"/>
      <c r="G1312" s="457"/>
      <c r="H1312" s="457"/>
      <c r="I1312" s="1311"/>
      <c r="J1312" s="1311"/>
      <c r="K1312" s="457"/>
      <c r="L1312" s="457"/>
      <c r="M1312" s="457"/>
      <c r="O1312" s="2098" t="s">
        <v>1717</v>
      </c>
      <c r="P1312" s="1314">
        <f>'Part VIII-Threshold Criteria'!P154</f>
        <v>0</v>
      </c>
      <c r="Q1312" s="1314"/>
    </row>
    <row r="1313" spans="1:22">
      <c r="A1313" s="1314"/>
      <c r="B1313" s="2009" t="s">
        <v>1718</v>
      </c>
      <c r="C1313" s="457" t="s">
        <v>670</v>
      </c>
      <c r="E1313" s="457"/>
      <c r="F1313" s="457"/>
      <c r="G1313" s="457"/>
      <c r="H1313" s="457"/>
      <c r="I1313" s="1311"/>
      <c r="J1313" s="1311"/>
      <c r="K1313" s="457"/>
      <c r="L1313" s="457"/>
      <c r="M1313" s="457"/>
      <c r="O1313" s="2098" t="s">
        <v>1718</v>
      </c>
      <c r="P1313" s="1314">
        <f>'Part VIII-Threshold Criteria'!P155</f>
        <v>0</v>
      </c>
      <c r="Q1313" s="1314"/>
    </row>
    <row r="1314" spans="1:22">
      <c r="A1314" s="1314"/>
      <c r="B1314" s="2009" t="s">
        <v>2336</v>
      </c>
      <c r="C1314" s="457" t="s">
        <v>4630</v>
      </c>
      <c r="E1314" s="457"/>
      <c r="F1314" s="457"/>
      <c r="G1314" s="457"/>
      <c r="H1314" s="457"/>
      <c r="I1314" s="1311"/>
      <c r="J1314" s="1311"/>
      <c r="K1314" s="457"/>
      <c r="L1314" s="457"/>
      <c r="M1314" s="457"/>
      <c r="O1314" s="2098" t="s">
        <v>1718</v>
      </c>
      <c r="P1314" s="1314">
        <f>'Part VIII-Threshold Criteria'!P156</f>
        <v>0</v>
      </c>
      <c r="Q1314" s="1314"/>
    </row>
    <row r="1315" spans="1:22">
      <c r="A1315" s="1051" t="s">
        <v>3396</v>
      </c>
      <c r="C1315" s="457"/>
      <c r="D1315" s="2031"/>
      <c r="E1315" s="2031"/>
      <c r="F1315" s="2031"/>
      <c r="G1315" s="2031"/>
      <c r="H1315" s="2031"/>
      <c r="I1315" s="1311"/>
      <c r="J1315" s="1311"/>
      <c r="K1315" s="2031"/>
      <c r="L1315" s="2031"/>
      <c r="M1315" s="1994"/>
      <c r="N1315" s="1994"/>
      <c r="O1315" s="1994"/>
      <c r="P1315" s="1994"/>
      <c r="Q1315" s="1994"/>
      <c r="R1315" s="1994"/>
    </row>
    <row r="1316" spans="1:22" ht="12.75" customHeight="1">
      <c r="A1316" s="2098" t="s">
        <v>1921</v>
      </c>
      <c r="B1316" s="2064" t="s">
        <v>5055</v>
      </c>
      <c r="C1316" s="2064"/>
      <c r="D1316" s="2064"/>
      <c r="E1316" s="2064"/>
      <c r="F1316" s="2064"/>
      <c r="G1316" s="2064"/>
      <c r="H1316" s="2064"/>
      <c r="I1316" s="2064"/>
      <c r="J1316" s="2064"/>
      <c r="K1316" s="2064"/>
      <c r="L1316" s="2064"/>
      <c r="M1316" s="2098" t="s">
        <v>1921</v>
      </c>
      <c r="N1316" s="2061" t="str">
        <f>'Part VIII-Threshold Criteria'!N158</f>
        <v>&lt;&lt;Select&gt;&gt;</v>
      </c>
      <c r="O1316" s="2061">
        <f>'Part VIII-Threshold Criteria'!O158</f>
        <v>0</v>
      </c>
      <c r="P1316" s="2061" t="s">
        <v>1749</v>
      </c>
      <c r="Q1316" s="2061"/>
      <c r="R1316" s="1311"/>
      <c r="S1316" s="1311"/>
      <c r="T1316" s="1311"/>
      <c r="U1316" s="1311"/>
      <c r="V1316" s="1311"/>
    </row>
    <row r="1317" spans="1:22">
      <c r="B1317" s="2010" t="s">
        <v>3644</v>
      </c>
      <c r="D1317" s="2010"/>
      <c r="E1317" s="2010"/>
      <c r="F1317" s="2010"/>
      <c r="G1317" s="2010"/>
      <c r="H1317" s="2009"/>
      <c r="I1317" s="1314"/>
      <c r="J1317" s="1314"/>
      <c r="K1317" s="1314"/>
      <c r="L1317" s="1958"/>
      <c r="M1317" s="1958"/>
      <c r="N1317" s="1958"/>
      <c r="O1317" s="1958"/>
      <c r="P1317" s="1958"/>
      <c r="Q1317" s="1958"/>
    </row>
    <row r="1318" spans="1:22" ht="409.6">
      <c r="A1318" s="2064" t="str">
        <f>'Part VIII-Threshold Criteria'!A160</f>
        <v xml:space="preserve">The subject property is currently vacant land.  A noise assessment was conducted by RMY consulting in accordance with DCA's environmental manual.  Additionally, Harry Walls Environmental Consulting conducting a noise study. The noise levels were in the acceptable range; consequently, no attenuation plan was required.  Lead was detected in the soil; however, the concentrations are below the default Type 1 Risk Reduction Standards which post no significant risk on the basis of standardized exposures assumptions and defined risk level for residential properties. A more detailed explanation can be found in the Environmental Assessment under Lead Based Paint (page 22 of the report). </v>
      </c>
      <c r="B1318" s="2064"/>
      <c r="C1318" s="2064"/>
      <c r="D1318" s="2064"/>
      <c r="E1318" s="2064"/>
      <c r="F1318" s="2064"/>
      <c r="G1318" s="2064"/>
      <c r="H1318" s="2064"/>
      <c r="I1318" s="2064"/>
      <c r="J1318" s="2064"/>
      <c r="K1318" s="2064"/>
      <c r="L1318" s="2064"/>
      <c r="M1318" s="2064"/>
      <c r="N1318" s="2064"/>
      <c r="O1318" s="2064"/>
      <c r="P1318" s="2064"/>
      <c r="Q1318" s="2064"/>
      <c r="R1318" s="2065" t="s">
        <v>1239</v>
      </c>
      <c r="S1318" s="2065"/>
      <c r="U1318" s="1957"/>
      <c r="V1318" s="1957"/>
    </row>
    <row r="1319" spans="1:22" ht="15">
      <c r="R1319" s="2065"/>
      <c r="S1319" s="2065"/>
    </row>
    <row r="1320" spans="1:22">
      <c r="B1320" s="2066" t="s">
        <v>1841</v>
      </c>
      <c r="C1320" s="2067"/>
      <c r="D1320" s="2068"/>
      <c r="E1320" s="2068"/>
      <c r="F1320" s="2068"/>
      <c r="G1320" s="2068"/>
      <c r="H1320" s="2068"/>
      <c r="I1320" s="2068"/>
      <c r="J1320" s="2068"/>
      <c r="K1320" s="2068"/>
      <c r="L1320" s="2068"/>
      <c r="M1320" s="2068"/>
      <c r="N1320" s="2068"/>
      <c r="O1320" s="2068"/>
      <c r="P1320" s="2068"/>
      <c r="Q1320" s="2068"/>
    </row>
    <row r="1321" spans="1:22">
      <c r="A1321" s="2064">
        <f>'Part VIII-Threshold Criteria'!A163</f>
        <v>0</v>
      </c>
      <c r="B1321" s="2064"/>
      <c r="C1321" s="2064"/>
      <c r="D1321" s="2064"/>
      <c r="E1321" s="2064"/>
      <c r="F1321" s="2064"/>
      <c r="G1321" s="2064"/>
      <c r="H1321" s="2064"/>
      <c r="I1321" s="2064"/>
      <c r="J1321" s="2064"/>
      <c r="K1321" s="2064"/>
      <c r="L1321" s="2064"/>
      <c r="M1321" s="2064"/>
      <c r="N1321" s="2064"/>
      <c r="O1321" s="2064"/>
      <c r="P1321" s="2064"/>
      <c r="Q1321" s="2064"/>
    </row>
    <row r="1322" spans="1:22">
      <c r="A1322" s="1958"/>
      <c r="B1322" s="1314"/>
      <c r="C1322" s="2068"/>
      <c r="D1322" s="2068"/>
      <c r="E1322" s="2068"/>
      <c r="F1322" s="2068"/>
      <c r="G1322" s="2068"/>
      <c r="H1322" s="2068"/>
      <c r="I1322" s="2068"/>
      <c r="J1322" s="2068"/>
      <c r="K1322" s="2068"/>
      <c r="L1322" s="2068"/>
      <c r="M1322" s="2068"/>
      <c r="N1322" s="2068"/>
      <c r="O1322" s="2068"/>
      <c r="P1322" s="2068"/>
      <c r="Q1322" s="1958"/>
    </row>
    <row r="1323" spans="1:22">
      <c r="A1323" s="1949" t="s">
        <v>289</v>
      </c>
      <c r="B1323" s="1949" t="s">
        <v>2619</v>
      </c>
      <c r="C1323" s="1949"/>
      <c r="D1323" s="2068"/>
      <c r="E1323" s="2068"/>
      <c r="F1323" s="2068"/>
      <c r="G1323" s="2068"/>
      <c r="H1323" s="2068"/>
      <c r="I1323" s="2068"/>
      <c r="J1323" s="2068"/>
      <c r="K1323" s="2068"/>
      <c r="O1323" s="2062" t="s">
        <v>1842</v>
      </c>
      <c r="P1323" s="1957"/>
      <c r="Q1323" s="1957"/>
    </row>
    <row r="1324" spans="1:22">
      <c r="A1324" s="2098" t="s">
        <v>1957</v>
      </c>
      <c r="B1324" s="457" t="s">
        <v>4755</v>
      </c>
      <c r="D1324" s="457"/>
      <c r="E1324" s="457"/>
      <c r="F1324" s="457"/>
      <c r="G1324" s="457"/>
      <c r="H1324" s="457" t="s">
        <v>2668</v>
      </c>
      <c r="K1324" s="2108">
        <f>'Part VIII-Threshold Criteria'!K166</f>
        <v>44196</v>
      </c>
      <c r="L1324" s="2108">
        <f>'Part VIII-Threshold Criteria'!L166</f>
        <v>0</v>
      </c>
      <c r="N1324" s="457"/>
      <c r="O1324" s="2098" t="s">
        <v>1957</v>
      </c>
      <c r="P1324" s="1314" t="str">
        <f>'Part VIII-Threshold Criteria'!P166</f>
        <v>Yes</v>
      </c>
      <c r="Q1324" s="1314"/>
    </row>
    <row r="1325" spans="1:22">
      <c r="A1325" s="2098" t="s">
        <v>1959</v>
      </c>
      <c r="B1325" s="2061" t="s">
        <v>148</v>
      </c>
      <c r="D1325" s="2061"/>
      <c r="E1325" s="2061"/>
      <c r="F1325" s="2061" t="str">
        <f>IF(N1325="Ground lease/Option","Ground lease/Option:","")</f>
        <v/>
      </c>
      <c r="H1325" s="1051" t="str">
        <f>IF(N1325="Ground lease/Option","Annual Pymt:","")</f>
        <v/>
      </c>
      <c r="I1325" s="2038" t="str">
        <f>IF(N1325="Ground lease/Option",'Part VI-Revenues &amp; Expenses'!$H$243,"")</f>
        <v/>
      </c>
      <c r="K1325" s="2109" t="str">
        <f>IF(N1325="Ground lease/Option","Term:","")</f>
        <v/>
      </c>
      <c r="L1325" s="2110" t="str">
        <f>IF(N1325="Ground lease/Option",'Part VI-Revenues &amp; Expenses'!$K$243,"")</f>
        <v/>
      </c>
      <c r="M1325" s="2098" t="s">
        <v>1959</v>
      </c>
      <c r="N1325" s="2025" t="str">
        <f>'Part VIII-Threshold Criteria'!N167</f>
        <v>Purchase Contract</v>
      </c>
      <c r="O1325" s="2025">
        <f>'Part VIII-Threshold Criteria'!O167</f>
        <v>0</v>
      </c>
      <c r="P1325" s="2025" t="s">
        <v>1749</v>
      </c>
      <c r="Q1325" s="2025"/>
    </row>
    <row r="1326" spans="1:22">
      <c r="A1326" s="2098" t="s">
        <v>738</v>
      </c>
      <c r="B1326" s="2061" t="s">
        <v>671</v>
      </c>
      <c r="D1326" s="2061"/>
      <c r="E1326" s="2061"/>
      <c r="F1326" s="2061"/>
      <c r="G1326" s="2061"/>
      <c r="H1326" s="2061"/>
      <c r="J1326" s="2098" t="s">
        <v>738</v>
      </c>
      <c r="K1326" s="457" t="str">
        <f>'Part VIII-Threshold Criteria'!K168</f>
        <v>Haven SA, LLC</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314"/>
    </row>
    <row r="1327" spans="1:22">
      <c r="B1327" s="2010" t="s">
        <v>3644</v>
      </c>
      <c r="D1327" s="2010"/>
      <c r="E1327" s="2010"/>
      <c r="F1327" s="2010"/>
      <c r="G1327" s="2010"/>
      <c r="H1327" s="2009"/>
      <c r="I1327" s="1314"/>
      <c r="J1327" s="1314"/>
      <c r="K1327" s="1314"/>
      <c r="L1327" s="1958"/>
      <c r="M1327" s="1958"/>
      <c r="N1327" s="1958"/>
      <c r="O1327" s="1958"/>
      <c r="P1327" s="1958"/>
      <c r="Q1327" s="1958"/>
    </row>
    <row r="1328" spans="1:22" ht="255">
      <c r="A1328" s="2064" t="str">
        <f>'Part VIII-Threshold Criteria'!A170</f>
        <v xml:space="preserve">FCS Urban Ministries has entered into an option to purchase with Haven SA, LLC.  The purchase price does not exceed the value indicated in the appraisal and site control is provided through December 31, 2020.  A Legal Description in both Word and PDF has been included. </v>
      </c>
      <c r="B1328" s="2064"/>
      <c r="C1328" s="2064"/>
      <c r="D1328" s="2064"/>
      <c r="E1328" s="2064"/>
      <c r="F1328" s="2064"/>
      <c r="G1328" s="2064"/>
      <c r="H1328" s="2064"/>
      <c r="I1328" s="2064"/>
      <c r="J1328" s="2064"/>
      <c r="K1328" s="2064"/>
      <c r="L1328" s="2064"/>
      <c r="M1328" s="2064"/>
      <c r="N1328" s="2064"/>
      <c r="O1328" s="2064"/>
      <c r="P1328" s="2064"/>
      <c r="Q1328" s="2064"/>
      <c r="U1328" s="1957"/>
      <c r="V1328" s="1957"/>
    </row>
    <row r="1329" spans="1:22">
      <c r="B1329" s="2066" t="s">
        <v>1841</v>
      </c>
      <c r="C1329" s="2067"/>
      <c r="D1329" s="2068"/>
      <c r="E1329" s="2068"/>
      <c r="F1329" s="2068"/>
      <c r="G1329" s="2068"/>
      <c r="H1329" s="2068"/>
      <c r="I1329" s="2068"/>
      <c r="J1329" s="2068"/>
      <c r="K1329" s="2068"/>
      <c r="L1329" s="2068"/>
      <c r="M1329" s="2068"/>
      <c r="N1329" s="2068"/>
      <c r="O1329" s="2068"/>
      <c r="P1329" s="2068"/>
      <c r="Q1329" s="2068"/>
    </row>
    <row r="1330" spans="1:22">
      <c r="A1330" s="2064">
        <f>'Part VIII-Threshold Criteria'!A172</f>
        <v>0</v>
      </c>
      <c r="B1330" s="2064"/>
      <c r="C1330" s="2064"/>
      <c r="D1330" s="2064"/>
      <c r="E1330" s="2064"/>
      <c r="F1330" s="2064"/>
      <c r="G1330" s="2064"/>
      <c r="H1330" s="2064"/>
      <c r="I1330" s="2064"/>
      <c r="J1330" s="2064"/>
      <c r="K1330" s="2064"/>
      <c r="L1330" s="2064"/>
      <c r="M1330" s="2064"/>
      <c r="N1330" s="2064"/>
      <c r="O1330" s="2064"/>
      <c r="P1330" s="2064"/>
      <c r="Q1330" s="2064"/>
    </row>
    <row r="1331" spans="1:22">
      <c r="A1331" s="1958"/>
      <c r="B1331" s="1314"/>
      <c r="C1331" s="2068"/>
      <c r="D1331" s="2068"/>
      <c r="E1331" s="2068"/>
      <c r="F1331" s="2068"/>
      <c r="G1331" s="2068"/>
      <c r="H1331" s="2068"/>
      <c r="I1331" s="2068"/>
      <c r="J1331" s="2068"/>
      <c r="K1331" s="2068"/>
      <c r="L1331" s="2068"/>
      <c r="M1331" s="2068"/>
      <c r="Q1331" s="1958"/>
    </row>
    <row r="1332" spans="1:22">
      <c r="A1332" s="1949" t="s">
        <v>422</v>
      </c>
      <c r="B1332" s="1949" t="s">
        <v>2620</v>
      </c>
      <c r="C1332" s="1949"/>
      <c r="D1332" s="2068"/>
      <c r="E1332" s="2068"/>
      <c r="F1332" s="2068"/>
      <c r="G1332" s="2068"/>
      <c r="H1332" s="2068"/>
      <c r="I1332" s="2068"/>
      <c r="J1332" s="2068"/>
      <c r="K1332" s="2068"/>
      <c r="L1332" s="2068"/>
      <c r="M1332" s="2068"/>
      <c r="O1332" s="2062" t="s">
        <v>1842</v>
      </c>
      <c r="P1332" s="1957"/>
      <c r="Q1332" s="1957"/>
    </row>
    <row r="1333" spans="1:22" ht="12.75" customHeight="1">
      <c r="A1333" s="2095" t="s">
        <v>1957</v>
      </c>
      <c r="B1333" s="2064" t="s">
        <v>3635</v>
      </c>
      <c r="C1333" s="2064"/>
      <c r="D1333" s="2064"/>
      <c r="E1333" s="2064"/>
      <c r="F1333" s="2064"/>
      <c r="G1333" s="2064"/>
      <c r="H1333" s="2064"/>
      <c r="I1333" s="2064"/>
      <c r="J1333" s="2064"/>
      <c r="K1333" s="2064"/>
      <c r="L1333" s="2064"/>
      <c r="M1333" s="2064"/>
      <c r="N1333" s="2064"/>
      <c r="O1333" s="2095" t="s">
        <v>1957</v>
      </c>
      <c r="P1333" s="2096" t="str">
        <f>'Part VIII-Threshold Criteria'!P175</f>
        <v>Yes</v>
      </c>
      <c r="Q1333" s="2096"/>
    </row>
    <row r="1334" spans="1:22" ht="12.75" customHeight="1">
      <c r="A1334" s="2095" t="s">
        <v>1959</v>
      </c>
      <c r="B1334" s="2064" t="s">
        <v>4430</v>
      </c>
      <c r="C1334" s="2064"/>
      <c r="D1334" s="2064"/>
      <c r="E1334" s="2064"/>
      <c r="F1334" s="2064"/>
      <c r="G1334" s="2064"/>
      <c r="H1334" s="2064"/>
      <c r="I1334" s="2064"/>
      <c r="J1334" s="2064"/>
      <c r="K1334" s="2064"/>
      <c r="L1334" s="2064"/>
      <c r="M1334" s="2064"/>
      <c r="N1334" s="2064"/>
      <c r="O1334" s="2095" t="s">
        <v>1959</v>
      </c>
      <c r="P1334" s="2096" t="str">
        <f>'Part VIII-Threshold Criteria'!P176</f>
        <v>N/Ap</v>
      </c>
      <c r="Q1334" s="2096"/>
    </row>
    <row r="1335" spans="1:22" ht="12.75" customHeight="1">
      <c r="A1335" s="2095" t="s">
        <v>738</v>
      </c>
      <c r="B1335" s="2064" t="s">
        <v>3636</v>
      </c>
      <c r="C1335" s="2064"/>
      <c r="D1335" s="2064"/>
      <c r="E1335" s="2064"/>
      <c r="F1335" s="2064"/>
      <c r="G1335" s="2064"/>
      <c r="H1335" s="2064"/>
      <c r="I1335" s="2064"/>
      <c r="J1335" s="2064"/>
      <c r="K1335" s="2064"/>
      <c r="L1335" s="2064"/>
      <c r="M1335" s="2064"/>
      <c r="N1335" s="2064"/>
      <c r="O1335" s="2095" t="s">
        <v>738</v>
      </c>
      <c r="P1335" s="2096" t="str">
        <f>'Part VIII-Threshold Criteria'!P177</f>
        <v>N/Ap</v>
      </c>
      <c r="Q1335" s="2096"/>
    </row>
    <row r="1336" spans="1:22" ht="12.75" customHeight="1">
      <c r="A1336" s="2095" t="s">
        <v>2088</v>
      </c>
      <c r="B1336" s="2064" t="s">
        <v>4575</v>
      </c>
      <c r="C1336" s="2064"/>
      <c r="D1336" s="2064"/>
      <c r="E1336" s="2064"/>
      <c r="F1336" s="2064"/>
      <c r="G1336" s="2064"/>
      <c r="H1336" s="2064"/>
      <c r="I1336" s="2064"/>
      <c r="J1336" s="2064"/>
      <c r="K1336" s="2064"/>
      <c r="L1336" s="2064"/>
      <c r="M1336" s="2064"/>
      <c r="N1336" s="2064"/>
      <c r="O1336" s="2095" t="s">
        <v>2088</v>
      </c>
      <c r="P1336" s="2096" t="str">
        <f>'Part VIII-Threshold Criteria'!P178</f>
        <v>N/Ap</v>
      </c>
      <c r="Q1336" s="2096"/>
    </row>
    <row r="1337" spans="1:22">
      <c r="B1337" s="2010" t="s">
        <v>3644</v>
      </c>
      <c r="D1337" s="2010"/>
      <c r="E1337" s="2010"/>
      <c r="F1337" s="2010"/>
      <c r="G1337" s="2010"/>
      <c r="H1337" s="2009"/>
      <c r="I1337" s="1314"/>
      <c r="J1337" s="1314"/>
      <c r="K1337" s="1314"/>
      <c r="L1337" s="1958"/>
      <c r="M1337" s="1958"/>
      <c r="N1337" s="1958"/>
      <c r="O1337" s="1958"/>
      <c r="P1337" s="1958"/>
      <c r="Q1337" s="1958"/>
    </row>
    <row r="1338" spans="1:22" ht="71.400000000000006">
      <c r="A1338" s="2064" t="str">
        <f>'Part VIII-Threshold Criteria'!A180</f>
        <v xml:space="preserve">The site is accessible via Hardwick Street SE which is a legally paved road. </v>
      </c>
      <c r="B1338" s="2064"/>
      <c r="C1338" s="2064"/>
      <c r="D1338" s="2064"/>
      <c r="E1338" s="2064"/>
      <c r="F1338" s="2064"/>
      <c r="G1338" s="2064"/>
      <c r="H1338" s="2064"/>
      <c r="I1338" s="2064"/>
      <c r="J1338" s="2064"/>
      <c r="K1338" s="2064"/>
      <c r="L1338" s="2064"/>
      <c r="M1338" s="2064"/>
      <c r="N1338" s="2064"/>
      <c r="O1338" s="2064"/>
      <c r="P1338" s="2064"/>
      <c r="Q1338" s="2064"/>
      <c r="U1338" s="1957"/>
      <c r="V1338" s="1957"/>
    </row>
    <row r="1339" spans="1:22">
      <c r="B1339" s="2066" t="s">
        <v>1841</v>
      </c>
      <c r="C1339" s="2067"/>
      <c r="D1339" s="2068"/>
      <c r="E1339" s="2068"/>
      <c r="F1339" s="2068"/>
      <c r="G1339" s="2068"/>
      <c r="H1339" s="2068"/>
      <c r="I1339" s="2068"/>
      <c r="J1339" s="2068"/>
      <c r="K1339" s="2068"/>
      <c r="L1339" s="2068"/>
      <c r="M1339" s="2068"/>
      <c r="N1339" s="2068"/>
      <c r="O1339" s="2068"/>
      <c r="P1339" s="2068"/>
      <c r="Q1339" s="2068"/>
    </row>
    <row r="1340" spans="1:22">
      <c r="A1340" s="2064">
        <f>'Part VIII-Threshold Criteria'!A182</f>
        <v>0</v>
      </c>
      <c r="B1340" s="2064"/>
      <c r="C1340" s="2064"/>
      <c r="D1340" s="2064"/>
      <c r="E1340" s="2064"/>
      <c r="F1340" s="2064"/>
      <c r="G1340" s="2064"/>
      <c r="H1340" s="2064"/>
      <c r="I1340" s="2064"/>
      <c r="J1340" s="2064"/>
      <c r="K1340" s="2064"/>
      <c r="L1340" s="2064"/>
      <c r="M1340" s="2064"/>
      <c r="N1340" s="2064"/>
      <c r="O1340" s="2064"/>
      <c r="P1340" s="2064"/>
      <c r="Q1340" s="2064"/>
    </row>
    <row r="1341" spans="1:22">
      <c r="B1341" s="1314"/>
      <c r="C1341" s="2068"/>
      <c r="D1341" s="2068"/>
      <c r="E1341" s="2068"/>
      <c r="F1341" s="2068"/>
      <c r="G1341" s="2068"/>
      <c r="H1341" s="2068"/>
      <c r="I1341" s="2068"/>
      <c r="J1341" s="2068"/>
      <c r="K1341" s="2068"/>
      <c r="L1341" s="2068"/>
      <c r="M1341" s="2068"/>
      <c r="N1341" s="2068"/>
      <c r="O1341" s="2068"/>
      <c r="P1341" s="2068"/>
      <c r="Q1341" s="1958"/>
    </row>
    <row r="1342" spans="1:22">
      <c r="A1342" s="1963" t="s">
        <v>359</v>
      </c>
      <c r="B1342" s="1311" t="s">
        <v>2621</v>
      </c>
      <c r="C1342" s="1311"/>
      <c r="D1342" s="1311"/>
      <c r="O1342" s="2062" t="s">
        <v>1842</v>
      </c>
      <c r="P1342" s="1957"/>
      <c r="Q1342" s="1957"/>
    </row>
    <row r="1343" spans="1:22">
      <c r="A1343" s="2095" t="s">
        <v>1957</v>
      </c>
      <c r="B1343" s="2100" t="s">
        <v>464</v>
      </c>
      <c r="D1343" s="2100"/>
      <c r="E1343" s="2100"/>
      <c r="F1343" s="2100"/>
      <c r="G1343" s="2100"/>
      <c r="H1343" s="2100"/>
      <c r="I1343" s="2100"/>
      <c r="J1343" s="2100"/>
      <c r="K1343" s="2100"/>
      <c r="L1343" s="2100"/>
      <c r="M1343" s="2100"/>
      <c r="O1343" s="2095" t="s">
        <v>1957</v>
      </c>
      <c r="P1343" s="1314" t="str">
        <f>'Part VIII-Threshold Criteria'!P185</f>
        <v>Yes</v>
      </c>
      <c r="Q1343" s="1314"/>
    </row>
    <row r="1344" spans="1:22">
      <c r="A1344" s="2095" t="s">
        <v>1959</v>
      </c>
      <c r="B1344" s="2100" t="s">
        <v>2606</v>
      </c>
      <c r="D1344" s="2100"/>
      <c r="E1344" s="2100"/>
      <c r="F1344" s="2100"/>
      <c r="G1344" s="2100"/>
      <c r="H1344" s="2100"/>
      <c r="I1344" s="2100"/>
      <c r="J1344" s="2100"/>
      <c r="K1344" s="2100"/>
      <c r="L1344" s="2100"/>
      <c r="M1344" s="2100"/>
      <c r="O1344" s="2095" t="s">
        <v>1959</v>
      </c>
      <c r="P1344" s="1314" t="str">
        <f>'Part VIII-Threshold Criteria'!P186</f>
        <v>Yes</v>
      </c>
      <c r="Q1344" s="1314"/>
    </row>
    <row r="1345" spans="1:22">
      <c r="A1345" s="2095" t="s">
        <v>738</v>
      </c>
      <c r="B1345" s="2100" t="s">
        <v>2607</v>
      </c>
      <c r="D1345" s="2100"/>
      <c r="E1345" s="2100"/>
      <c r="F1345" s="2100"/>
      <c r="G1345" s="2100"/>
      <c r="H1345" s="2100"/>
      <c r="I1345" s="2100"/>
      <c r="J1345" s="2061" t="s">
        <v>4592</v>
      </c>
      <c r="L1345" s="2100"/>
      <c r="M1345" s="2100"/>
      <c r="O1345" s="2095" t="s">
        <v>738</v>
      </c>
      <c r="P1345" s="1314" t="str">
        <f>'Part VIII-Threshold Criteria'!P187</f>
        <v>Yes</v>
      </c>
      <c r="Q1345" s="1314"/>
    </row>
    <row r="1346" spans="1:22">
      <c r="B1346" s="2009" t="s">
        <v>1716</v>
      </c>
      <c r="C1346" s="2009" t="s">
        <v>2608</v>
      </c>
      <c r="G1346" s="2100"/>
      <c r="H1346" s="2100"/>
      <c r="J1346" s="2100"/>
      <c r="K1346" s="2100"/>
      <c r="L1346" s="2100"/>
      <c r="M1346" s="2100"/>
      <c r="O1346" s="2109" t="s">
        <v>1716</v>
      </c>
      <c r="P1346" s="1314" t="str">
        <f>'Part VIII-Threshold Criteria'!P188</f>
        <v>Yes</v>
      </c>
      <c r="Q1346" s="1314"/>
    </row>
    <row r="1347" spans="1:22">
      <c r="A1347" s="2061"/>
      <c r="B1347" s="2009" t="s">
        <v>1717</v>
      </c>
      <c r="C1347" s="2009" t="s">
        <v>5056</v>
      </c>
      <c r="G1347" s="2100"/>
      <c r="H1347" s="2100"/>
      <c r="I1347" s="2100"/>
      <c r="J1347" s="2100"/>
      <c r="K1347" s="2100"/>
      <c r="L1347" s="2100"/>
      <c r="M1347" s="2100"/>
      <c r="O1347" s="2109" t="s">
        <v>1717</v>
      </c>
      <c r="P1347" s="1314" t="str">
        <f>'Part VIII-Threshold Criteria'!P189</f>
        <v>Yes</v>
      </c>
      <c r="Q1347" s="1314"/>
    </row>
    <row r="1348" spans="1:22" ht="12.75" customHeight="1">
      <c r="A1348" s="2095"/>
      <c r="B1348" s="2100" t="s">
        <v>1718</v>
      </c>
      <c r="C1348" s="2064" t="s">
        <v>3637</v>
      </c>
      <c r="D1348" s="2064"/>
      <c r="E1348" s="2064"/>
      <c r="F1348" s="2064"/>
      <c r="G1348" s="2064"/>
      <c r="H1348" s="2064"/>
      <c r="I1348" s="2064"/>
      <c r="J1348" s="2064"/>
      <c r="K1348" s="2064"/>
      <c r="L1348" s="2064"/>
      <c r="M1348" s="2064"/>
      <c r="N1348" s="2064"/>
      <c r="O1348" s="2095" t="s">
        <v>1718</v>
      </c>
      <c r="P1348" s="2096" t="str">
        <f>'Part VIII-Threshold Criteria'!P190</f>
        <v>Yes</v>
      </c>
      <c r="Q1348" s="2096"/>
      <c r="R1348" s="2006"/>
      <c r="S1348" s="2006"/>
      <c r="T1348" s="2006"/>
      <c r="U1348" s="2006"/>
      <c r="V1348" s="2006"/>
    </row>
    <row r="1349" spans="1:22">
      <c r="A1349" s="2095"/>
      <c r="B1349" s="2009" t="s">
        <v>2336</v>
      </c>
      <c r="C1349" s="2009" t="s">
        <v>2610</v>
      </c>
      <c r="G1349" s="2100"/>
      <c r="H1349" s="2100"/>
      <c r="I1349" s="2100"/>
      <c r="J1349" s="2100"/>
      <c r="K1349" s="2100"/>
      <c r="L1349" s="2100"/>
      <c r="M1349" s="2100"/>
      <c r="O1349" s="2109" t="s">
        <v>2336</v>
      </c>
      <c r="P1349" s="1314" t="str">
        <f>'Part VIII-Threshold Criteria'!P191</f>
        <v>Yes</v>
      </c>
      <c r="Q1349" s="1314"/>
    </row>
    <row r="1350" spans="1:22" ht="12.75" customHeight="1">
      <c r="A1350" s="2095"/>
      <c r="B1350" s="2100" t="s">
        <v>1530</v>
      </c>
      <c r="C1350" s="2064" t="s">
        <v>2611</v>
      </c>
      <c r="D1350" s="2064"/>
      <c r="E1350" s="2064"/>
      <c r="F1350" s="2064"/>
      <c r="G1350" s="2064"/>
      <c r="H1350" s="2064"/>
      <c r="I1350" s="2064"/>
      <c r="J1350" s="2064"/>
      <c r="K1350" s="2064"/>
      <c r="L1350" s="2064"/>
      <c r="M1350" s="2064"/>
      <c r="N1350" s="2064"/>
      <c r="O1350" s="2095" t="s">
        <v>1530</v>
      </c>
      <c r="P1350" s="2096" t="str">
        <f>'Part VIII-Threshold Criteria'!P192</f>
        <v>N/Ap</v>
      </c>
      <c r="Q1350" s="2096"/>
      <c r="R1350" s="2006"/>
      <c r="S1350" s="2006"/>
      <c r="T1350" s="2006"/>
      <c r="U1350" s="2006"/>
      <c r="V1350" s="2006"/>
    </row>
    <row r="1351" spans="1:22" ht="12.75" customHeight="1">
      <c r="A1351" s="2095"/>
      <c r="B1351" s="2100" t="s">
        <v>1531</v>
      </c>
      <c r="C1351" s="2064" t="s">
        <v>3761</v>
      </c>
      <c r="D1351" s="2064"/>
      <c r="E1351" s="2064"/>
      <c r="F1351" s="2064"/>
      <c r="G1351" s="2064"/>
      <c r="H1351" s="2064"/>
      <c r="I1351" s="2064"/>
      <c r="J1351" s="2064"/>
      <c r="K1351" s="2064"/>
      <c r="L1351" s="2064"/>
      <c r="M1351" s="2064"/>
      <c r="N1351" s="2064"/>
      <c r="O1351" s="2095" t="s">
        <v>1531</v>
      </c>
      <c r="P1351" s="2096" t="str">
        <f>'Part VIII-Threshold Criteria'!P193</f>
        <v>N/Ap</v>
      </c>
      <c r="Q1351" s="2096"/>
      <c r="R1351" s="2006"/>
      <c r="S1351" s="2006"/>
      <c r="T1351" s="2006"/>
      <c r="U1351" s="2006"/>
      <c r="V1351" s="2006"/>
    </row>
    <row r="1352" spans="1:22" ht="12.75" customHeight="1">
      <c r="A1352" s="2095" t="s">
        <v>2088</v>
      </c>
      <c r="B1352" s="2064" t="s">
        <v>2612</v>
      </c>
      <c r="C1352" s="2064"/>
      <c r="D1352" s="2064"/>
      <c r="E1352" s="2064"/>
      <c r="F1352" s="2064"/>
      <c r="G1352" s="2064"/>
      <c r="H1352" s="2064"/>
      <c r="I1352" s="2064"/>
      <c r="J1352" s="2064"/>
      <c r="K1352" s="2064"/>
      <c r="L1352" s="2064"/>
      <c r="M1352" s="2064"/>
      <c r="N1352" s="2064"/>
      <c r="O1352" s="2095" t="s">
        <v>2088</v>
      </c>
      <c r="P1352" s="2096" t="str">
        <f>'Part VIII-Threshold Criteria'!P194</f>
        <v>Yes</v>
      </c>
      <c r="Q1352" s="2096"/>
    </row>
    <row r="1353" spans="1:22">
      <c r="A1353" s="2095" t="s">
        <v>1714</v>
      </c>
      <c r="B1353" s="2100" t="s">
        <v>2349</v>
      </c>
      <c r="D1353" s="2100"/>
      <c r="E1353" s="2100"/>
      <c r="F1353" s="2100"/>
      <c r="G1353" s="2100"/>
      <c r="H1353" s="2100"/>
      <c r="I1353" s="2100"/>
      <c r="J1353" s="2100"/>
      <c r="K1353" s="2100"/>
      <c r="L1353" s="2100"/>
      <c r="M1353" s="2100"/>
      <c r="O1353" s="2095" t="s">
        <v>1714</v>
      </c>
      <c r="P1353" s="1314" t="str">
        <f>'Part VIII-Threshold Criteria'!P195</f>
        <v>Yes</v>
      </c>
      <c r="Q1353" s="1314"/>
    </row>
    <row r="1354" spans="1:22">
      <c r="B1354" s="2010" t="s">
        <v>3644</v>
      </c>
      <c r="D1354" s="2010"/>
      <c r="E1354" s="2010"/>
      <c r="F1354" s="2010"/>
      <c r="G1354" s="2010"/>
      <c r="H1354" s="2009"/>
      <c r="I1354" s="1314"/>
      <c r="J1354" s="1314"/>
      <c r="K1354" s="1314"/>
      <c r="L1354" s="1958"/>
      <c r="M1354" s="1958"/>
      <c r="N1354" s="1958"/>
      <c r="O1354" s="1958"/>
      <c r="P1354" s="1958"/>
      <c r="Q1354" s="1958"/>
    </row>
    <row r="1355" spans="1:22" ht="387.6">
      <c r="A1355" s="2064" t="str">
        <f>'Part VIII-Threshold Criteria'!A197</f>
        <v>The site is zoned appropriately for its intended use.  The site is zoned Mr-3-C Multifamily Residential District 3 Regulations 3 with conditions.  Multi-family residential is a permitted use within this district and the conditions do not impede the proposed development.  The only condition is a height limitation for all properties subject to the MR-3 zoning maximum building height of 60 feet (condition in Attahment A).</v>
      </c>
      <c r="B1355" s="2064"/>
      <c r="C1355" s="2064"/>
      <c r="D1355" s="2064"/>
      <c r="E1355" s="2064"/>
      <c r="F1355" s="2064"/>
      <c r="G1355" s="2064"/>
      <c r="H1355" s="2064"/>
      <c r="I1355" s="2064"/>
      <c r="J1355" s="2064"/>
      <c r="K1355" s="2064"/>
      <c r="L1355" s="2064"/>
      <c r="M1355" s="2064"/>
      <c r="N1355" s="2064"/>
      <c r="O1355" s="2064"/>
      <c r="P1355" s="2064"/>
      <c r="Q1355" s="2064"/>
      <c r="U1355" s="1957"/>
      <c r="V1355" s="1957"/>
    </row>
    <row r="1356" spans="1:22">
      <c r="B1356" s="2066" t="s">
        <v>1841</v>
      </c>
      <c r="C1356" s="2067"/>
      <c r="D1356" s="2068"/>
      <c r="E1356" s="2068"/>
      <c r="F1356" s="2068"/>
      <c r="G1356" s="2068"/>
      <c r="H1356" s="2068"/>
      <c r="I1356" s="2068"/>
      <c r="J1356" s="2068"/>
      <c r="K1356" s="2068"/>
      <c r="L1356" s="2068"/>
      <c r="M1356" s="2068"/>
      <c r="N1356" s="2068"/>
      <c r="O1356" s="2068"/>
      <c r="P1356" s="2068"/>
      <c r="Q1356" s="2068"/>
    </row>
    <row r="1357" spans="1:22">
      <c r="A1357" s="2064">
        <f>'Part VIII-Threshold Criteria'!A199</f>
        <v>0</v>
      </c>
      <c r="B1357" s="2064"/>
      <c r="C1357" s="2064"/>
      <c r="D1357" s="2064"/>
      <c r="E1357" s="2064"/>
      <c r="F1357" s="2064"/>
      <c r="G1357" s="2064"/>
      <c r="H1357" s="2064"/>
      <c r="I1357" s="2064"/>
      <c r="J1357" s="2064"/>
      <c r="K1357" s="2064"/>
      <c r="L1357" s="2064"/>
      <c r="M1357" s="2064"/>
      <c r="N1357" s="2064"/>
      <c r="O1357" s="2064"/>
      <c r="P1357" s="2064"/>
      <c r="Q1357" s="2064"/>
    </row>
    <row r="1358" spans="1:22">
      <c r="A1358" s="1958"/>
      <c r="B1358" s="1314"/>
      <c r="C1358" s="2068"/>
      <c r="D1358" s="2068"/>
      <c r="E1358" s="2068"/>
      <c r="F1358" s="2068"/>
      <c r="G1358" s="2068"/>
      <c r="H1358" s="2068"/>
      <c r="I1358" s="2068"/>
      <c r="J1358" s="2068"/>
      <c r="K1358" s="2068"/>
      <c r="L1358" s="2068"/>
      <c r="M1358" s="2068"/>
      <c r="N1358" s="2068"/>
      <c r="O1358" s="2068"/>
      <c r="P1358" s="2068"/>
      <c r="Q1358" s="1958"/>
    </row>
    <row r="1359" spans="1:22">
      <c r="A1359" s="1949" t="s">
        <v>360</v>
      </c>
      <c r="B1359" s="1949" t="s">
        <v>2622</v>
      </c>
      <c r="C1359" s="1949"/>
      <c r="D1359" s="2068"/>
      <c r="E1359" s="2111"/>
      <c r="F1359" s="2111"/>
      <c r="G1359" s="2068"/>
      <c r="J1359" s="2064"/>
      <c r="K1359" s="2064"/>
      <c r="L1359" s="2064"/>
      <c r="M1359" s="2064"/>
      <c r="N1359" s="2064"/>
      <c r="O1359" s="2062" t="s">
        <v>1842</v>
      </c>
      <c r="P1359" s="1957"/>
      <c r="Q1359" s="1957"/>
    </row>
    <row r="1360" spans="1:22" ht="12.75" customHeight="1">
      <c r="A1360" s="2031" t="s">
        <v>4746</v>
      </c>
      <c r="B1360" s="2031"/>
      <c r="C1360" s="2031"/>
      <c r="D1360" s="2031"/>
      <c r="E1360" s="2031"/>
      <c r="F1360" s="2031"/>
      <c r="G1360" s="2031"/>
      <c r="H1360" s="2031"/>
      <c r="I1360" s="2031"/>
      <c r="J1360" s="2031"/>
      <c r="K1360" s="2031"/>
      <c r="L1360" s="2031"/>
      <c r="M1360" s="2031"/>
      <c r="N1360" s="2031"/>
      <c r="O1360" s="2031"/>
      <c r="P1360" s="2031"/>
      <c r="Q1360" s="2031"/>
    </row>
    <row r="1361" spans="1:22">
      <c r="A1361" s="1981"/>
      <c r="B1361" s="2061" t="s">
        <v>95</v>
      </c>
      <c r="D1361" s="2061"/>
      <c r="E1361" s="2061"/>
      <c r="F1361" s="2061"/>
      <c r="G1361" s="2061"/>
      <c r="H1361" s="2098" t="s">
        <v>1716</v>
      </c>
      <c r="I1361" s="457" t="s">
        <v>150</v>
      </c>
      <c r="J1361" s="457" t="str">
        <f>'Part VIII-Threshold Criteria'!J203</f>
        <v>Not applicable</v>
      </c>
      <c r="K1361" s="457">
        <f>'Part VIII-Threshold Criteria'!K203</f>
        <v>0</v>
      </c>
      <c r="L1361" s="457">
        <f>'Part VIII-Threshold Criteria'!L203</f>
        <v>0</v>
      </c>
      <c r="M1361" s="457">
        <f>'Part VIII-Threshold Criteria'!M203</f>
        <v>0</v>
      </c>
      <c r="N1361" s="457">
        <f>'Part VIII-Threshold Criteria'!N203</f>
        <v>0</v>
      </c>
      <c r="O1361" s="2098" t="s">
        <v>1716</v>
      </c>
      <c r="P1361" s="1314">
        <f>'Part VIII-Threshold Criteria'!P203</f>
        <v>0</v>
      </c>
      <c r="Q1361" s="1314"/>
    </row>
    <row r="1362" spans="1:22">
      <c r="A1362" s="1981"/>
      <c r="B1362" s="2010" t="s">
        <v>3644</v>
      </c>
      <c r="C1362" s="1979"/>
      <c r="D1362" s="1979"/>
      <c r="E1362" s="1979"/>
      <c r="F1362" s="1979"/>
      <c r="H1362" s="2098" t="s">
        <v>1717</v>
      </c>
      <c r="I1362" s="457" t="s">
        <v>1577</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2098" t="s">
        <v>1717</v>
      </c>
      <c r="P1362" s="1314" t="str">
        <f>'Part VIII-Threshold Criteria'!P204</f>
        <v>Yes</v>
      </c>
      <c r="Q1362" s="1314"/>
    </row>
    <row r="1363" spans="1:22" ht="91.8">
      <c r="A1363" s="2064" t="str">
        <f>'Part VIII-Threshold Criteria'!A205</f>
        <v>Tab 11 containes a  letter from Georgia Power  confirming availability of power to the site.</v>
      </c>
      <c r="B1363" s="2064"/>
      <c r="C1363" s="2064"/>
      <c r="D1363" s="2064"/>
      <c r="E1363" s="2064"/>
      <c r="F1363" s="2064"/>
      <c r="G1363" s="2064"/>
      <c r="H1363" s="2064"/>
      <c r="I1363" s="2064"/>
      <c r="J1363" s="2064"/>
      <c r="K1363" s="2064"/>
      <c r="L1363" s="2064"/>
      <c r="M1363" s="2064"/>
      <c r="N1363" s="2064"/>
      <c r="O1363" s="2064"/>
      <c r="P1363" s="2064"/>
      <c r="Q1363" s="2064"/>
      <c r="U1363" s="1957"/>
      <c r="V1363" s="1957"/>
    </row>
    <row r="1364" spans="1:22">
      <c r="B1364" s="2066" t="s">
        <v>1841</v>
      </c>
      <c r="C1364" s="2067"/>
      <c r="D1364" s="2068"/>
      <c r="E1364" s="2068"/>
      <c r="F1364" s="2068"/>
      <c r="G1364" s="2068"/>
      <c r="H1364" s="2068"/>
      <c r="I1364" s="2068"/>
      <c r="J1364" s="2068"/>
      <c r="K1364" s="2068"/>
      <c r="L1364" s="2068"/>
      <c r="M1364" s="2068"/>
      <c r="N1364" s="2068"/>
      <c r="O1364" s="2068"/>
      <c r="P1364" s="2068"/>
      <c r="Q1364" s="2068"/>
    </row>
    <row r="1365" spans="1:22">
      <c r="A1365" s="2064">
        <f>'Part VIII-Threshold Criteria'!A207</f>
        <v>0</v>
      </c>
      <c r="B1365" s="2064"/>
      <c r="C1365" s="2064"/>
      <c r="D1365" s="2064"/>
      <c r="E1365" s="2064"/>
      <c r="F1365" s="2064"/>
      <c r="G1365" s="2064"/>
      <c r="H1365" s="2064"/>
      <c r="I1365" s="2064"/>
      <c r="J1365" s="2064"/>
      <c r="K1365" s="2064"/>
      <c r="L1365" s="2064"/>
      <c r="M1365" s="2064"/>
      <c r="N1365" s="2064"/>
      <c r="O1365" s="2064"/>
      <c r="P1365" s="2064"/>
      <c r="Q1365" s="2064"/>
    </row>
    <row r="1366" spans="1:22">
      <c r="B1366" s="1314"/>
      <c r="C1366" s="2068"/>
      <c r="D1366" s="2068"/>
      <c r="E1366" s="2068"/>
      <c r="F1366" s="2068"/>
      <c r="G1366" s="2068"/>
      <c r="H1366" s="2068"/>
      <c r="I1366" s="2068"/>
      <c r="J1366" s="2068"/>
      <c r="K1366" s="2068"/>
      <c r="L1366" s="2068"/>
      <c r="M1366" s="2068"/>
      <c r="Q1366" s="1958"/>
    </row>
    <row r="1367" spans="1:22">
      <c r="A1367" s="1949" t="s">
        <v>361</v>
      </c>
      <c r="B1367" s="1311" t="s">
        <v>2623</v>
      </c>
      <c r="C1367" s="1311"/>
      <c r="D1367" s="457"/>
      <c r="E1367" s="457"/>
      <c r="F1367" s="457"/>
      <c r="G1367" s="2068"/>
      <c r="H1367" s="2068"/>
      <c r="I1367" s="2068"/>
      <c r="J1367" s="2068"/>
      <c r="K1367" s="2068"/>
      <c r="L1367" s="2068"/>
      <c r="M1367" s="2068"/>
      <c r="O1367" s="2062" t="s">
        <v>1842</v>
      </c>
      <c r="P1367" s="1957"/>
      <c r="Q1367" s="1957"/>
    </row>
    <row r="1368" spans="1:22" ht="12.75" customHeight="1">
      <c r="A1368" s="2095" t="s">
        <v>1957</v>
      </c>
      <c r="B1368" s="2064" t="s">
        <v>1824</v>
      </c>
      <c r="C1368" s="2064"/>
      <c r="D1368" s="2064"/>
      <c r="E1368" s="2064"/>
      <c r="F1368" s="2064"/>
      <c r="G1368" s="2064"/>
      <c r="H1368" s="2098" t="s">
        <v>1716</v>
      </c>
      <c r="I1368" s="457" t="s">
        <v>624</v>
      </c>
      <c r="J1368" s="457" t="str">
        <f>'Part VIII-Threshold Criteria'!J210</f>
        <v>City of Atlanta</v>
      </c>
      <c r="K1368" s="457">
        <f>'Part VIII-Threshold Criteria'!K210</f>
        <v>0</v>
      </c>
      <c r="L1368" s="457">
        <f>'Part VIII-Threshold Criteria'!L210</f>
        <v>0</v>
      </c>
      <c r="M1368" s="457">
        <f>'Part VIII-Threshold Criteria'!M210</f>
        <v>0</v>
      </c>
      <c r="N1368" s="457">
        <f>'Part VIII-Threshold Criteria'!N210</f>
        <v>0</v>
      </c>
      <c r="O1368" s="2095" t="s">
        <v>1468</v>
      </c>
      <c r="P1368" s="1314" t="str">
        <f>'Part VIII-Threshold Criteria'!P210</f>
        <v>Yes</v>
      </c>
      <c r="Q1368" s="1314"/>
    </row>
    <row r="1369" spans="1:22">
      <c r="A1369" s="1785"/>
      <c r="B1369" s="2064"/>
      <c r="C1369" s="2064"/>
      <c r="D1369" s="2064"/>
      <c r="E1369" s="2064"/>
      <c r="F1369" s="2064"/>
      <c r="G1369" s="2064"/>
      <c r="H1369" s="2098" t="s">
        <v>1717</v>
      </c>
      <c r="I1369" s="457" t="s">
        <v>114</v>
      </c>
      <c r="J1369" s="457" t="str">
        <f>'Part VIII-Threshold Criteria'!J211</f>
        <v>City of Atlanta</v>
      </c>
      <c r="K1369" s="457">
        <f>'Part VIII-Threshold Criteria'!K211</f>
        <v>0</v>
      </c>
      <c r="L1369" s="457">
        <f>'Part VIII-Threshold Criteria'!L211</f>
        <v>0</v>
      </c>
      <c r="M1369" s="457">
        <f>'Part VIII-Threshold Criteria'!M211</f>
        <v>0</v>
      </c>
      <c r="N1369" s="457">
        <f>'Part VIII-Threshold Criteria'!N211</f>
        <v>0</v>
      </c>
      <c r="O1369" s="2095" t="s">
        <v>1717</v>
      </c>
      <c r="P1369" s="1314" t="str">
        <f>'Part VIII-Threshold Criteria'!P211</f>
        <v>Yes</v>
      </c>
      <c r="Q1369" s="1314"/>
    </row>
    <row r="1370" spans="1:22">
      <c r="A1370" s="2095" t="s">
        <v>1959</v>
      </c>
      <c r="B1370" s="457" t="s">
        <v>3766</v>
      </c>
      <c r="C1370" s="1860"/>
      <c r="D1370" s="457"/>
      <c r="E1370" s="457"/>
      <c r="F1370" s="457"/>
      <c r="G1370" s="457"/>
      <c r="H1370" s="457"/>
      <c r="I1370" s="457"/>
      <c r="J1370" s="457"/>
      <c r="K1370" s="1311"/>
      <c r="L1370" s="457"/>
      <c r="M1370" s="457"/>
      <c r="N1370" s="1860"/>
      <c r="O1370" s="2098" t="s">
        <v>1959</v>
      </c>
      <c r="P1370" s="1314" t="str">
        <f>'Part VIII-Threshold Criteria'!P212</f>
        <v>No</v>
      </c>
      <c r="Q1370" s="1314"/>
    </row>
    <row r="1371" spans="1:22">
      <c r="A1371" s="2098" t="s">
        <v>738</v>
      </c>
      <c r="B1371" s="457" t="s">
        <v>3767</v>
      </c>
      <c r="D1371" s="457"/>
      <c r="E1371" s="457"/>
      <c r="F1371" s="457"/>
      <c r="G1371" s="457"/>
      <c r="H1371" s="457"/>
      <c r="I1371" s="457"/>
      <c r="J1371" s="457"/>
      <c r="K1371" s="1311"/>
      <c r="L1371" s="457"/>
      <c r="M1371" s="457"/>
      <c r="O1371" s="2098" t="s">
        <v>738</v>
      </c>
      <c r="P1371" s="1314" t="str">
        <f>'Part VIII-Threshold Criteria'!P213</f>
        <v>No</v>
      </c>
      <c r="Q1371" s="1314"/>
    </row>
    <row r="1372" spans="1:22">
      <c r="B1372" s="2010" t="s">
        <v>3644</v>
      </c>
      <c r="D1372" s="2010"/>
      <c r="E1372" s="2010"/>
      <c r="F1372" s="2010"/>
      <c r="G1372" s="2010"/>
      <c r="H1372" s="2009"/>
      <c r="I1372" s="1314"/>
      <c r="J1372" s="1314"/>
      <c r="K1372" s="1314"/>
      <c r="L1372" s="1958"/>
      <c r="M1372" s="1958"/>
      <c r="N1372" s="1958"/>
      <c r="O1372" s="1958"/>
      <c r="P1372" s="1958"/>
      <c r="Q1372" s="1958"/>
    </row>
    <row r="1373" spans="1:22" ht="153">
      <c r="A1373" s="2064" t="str">
        <f>'Part VIII-Threshold Criteria'!A215</f>
        <v>City of Atlanta letters for Water and Sewer are included with the application confirming location and availability to the site.   They are contained in Tab 12.</v>
      </c>
      <c r="B1373" s="2064"/>
      <c r="C1373" s="2064"/>
      <c r="D1373" s="2064"/>
      <c r="E1373" s="2064"/>
      <c r="F1373" s="2064"/>
      <c r="G1373" s="2064"/>
      <c r="H1373" s="2064"/>
      <c r="I1373" s="2064"/>
      <c r="J1373" s="2064"/>
      <c r="K1373" s="2064"/>
      <c r="L1373" s="2064"/>
      <c r="M1373" s="2064"/>
      <c r="N1373" s="2064"/>
      <c r="O1373" s="2064"/>
      <c r="P1373" s="2064"/>
      <c r="Q1373" s="2064"/>
      <c r="U1373" s="1957"/>
      <c r="V1373" s="1957"/>
    </row>
    <row r="1374" spans="1:22">
      <c r="A1374" s="1860"/>
      <c r="B1374" s="2066" t="s">
        <v>1841</v>
      </c>
      <c r="C1374" s="2067"/>
      <c r="D1374" s="2064"/>
      <c r="E1374" s="2064"/>
      <c r="F1374" s="2064"/>
      <c r="G1374" s="2064"/>
      <c r="H1374" s="2064"/>
      <c r="I1374" s="2064"/>
      <c r="J1374" s="2064"/>
      <c r="K1374" s="2064"/>
      <c r="L1374" s="2064"/>
      <c r="M1374" s="2064"/>
      <c r="N1374" s="2064"/>
      <c r="O1374" s="2064"/>
      <c r="P1374" s="2064"/>
      <c r="Q1374" s="2064"/>
    </row>
    <row r="1375" spans="1:22">
      <c r="A1375" s="2064">
        <f>'Part VIII-Threshold Criteria'!A217</f>
        <v>0</v>
      </c>
      <c r="B1375" s="2064"/>
      <c r="C1375" s="2064"/>
      <c r="D1375" s="2064"/>
      <c r="E1375" s="2064"/>
      <c r="F1375" s="2064"/>
      <c r="G1375" s="2064"/>
      <c r="H1375" s="2064"/>
      <c r="I1375" s="2064"/>
      <c r="J1375" s="2064"/>
      <c r="K1375" s="2064"/>
      <c r="L1375" s="2064"/>
      <c r="M1375" s="2064"/>
      <c r="N1375" s="2064"/>
      <c r="O1375" s="2064"/>
      <c r="P1375" s="2064"/>
      <c r="Q1375" s="2064"/>
    </row>
    <row r="1376" spans="1:22">
      <c r="A1376" s="1957"/>
      <c r="B1376" s="457"/>
      <c r="C1376" s="2064"/>
      <c r="D1376" s="2064"/>
      <c r="E1376" s="2064"/>
      <c r="F1376" s="2064"/>
      <c r="G1376" s="2064"/>
      <c r="H1376" s="2064"/>
      <c r="I1376" s="2064"/>
      <c r="J1376" s="2064"/>
      <c r="K1376" s="2064"/>
      <c r="L1376" s="2064"/>
      <c r="M1376" s="2064"/>
      <c r="N1376" s="1860"/>
      <c r="O1376" s="1860"/>
      <c r="P1376" s="1860"/>
      <c r="Q1376" s="1957"/>
    </row>
    <row r="1377" spans="1:22">
      <c r="A1377" s="1949" t="s">
        <v>1705</v>
      </c>
      <c r="B1377" s="1949" t="s">
        <v>2624</v>
      </c>
      <c r="C1377" s="2009"/>
      <c r="D1377" s="2068"/>
      <c r="E1377" s="2068"/>
      <c r="F1377" s="2068"/>
      <c r="G1377" s="2068"/>
      <c r="H1377" s="2068"/>
      <c r="I1377" s="2068"/>
      <c r="J1377" s="2068"/>
      <c r="K1377" s="2068"/>
      <c r="L1377" s="2068"/>
      <c r="M1377" s="2068"/>
      <c r="O1377" s="2062" t="s">
        <v>1842</v>
      </c>
      <c r="P1377" s="1957"/>
      <c r="Q1377" s="1957"/>
    </row>
    <row r="1378" spans="1:22">
      <c r="B1378" s="1051" t="s">
        <v>1177</v>
      </c>
      <c r="N1378" s="1953"/>
      <c r="P1378" s="457" t="str">
        <f>'Part VIII-Threshold Criteria'!P220</f>
        <v>No</v>
      </c>
      <c r="Q1378" s="457"/>
    </row>
    <row r="1379" spans="1:22">
      <c r="A1379" s="2098" t="s">
        <v>1957</v>
      </c>
      <c r="B1379" s="457" t="s">
        <v>5057</v>
      </c>
      <c r="D1379" s="1311"/>
      <c r="E1379" s="1311"/>
      <c r="F1379" s="1311"/>
      <c r="G1379" s="1311"/>
      <c r="H1379" s="1311"/>
      <c r="I1379" s="1311"/>
      <c r="J1379" s="1311"/>
      <c r="K1379" s="1311"/>
      <c r="L1379" s="1311"/>
      <c r="M1379" s="1311"/>
      <c r="O1379" s="2098" t="s">
        <v>1957</v>
      </c>
      <c r="P1379" s="1314" t="str">
        <f>'Part VIII-Threshold Criteria'!P221</f>
        <v>Agree</v>
      </c>
      <c r="Q1379" s="1314"/>
    </row>
    <row r="1380" spans="1:22">
      <c r="A1380" s="2098"/>
      <c r="B1380" s="2009" t="s">
        <v>1716</v>
      </c>
      <c r="C1380" s="457" t="s">
        <v>1905</v>
      </c>
      <c r="E1380" s="457"/>
      <c r="F1380" s="457"/>
      <c r="G1380" s="457"/>
      <c r="H1380" s="457"/>
      <c r="I1380" s="1311"/>
      <c r="J1380" s="2098" t="s">
        <v>1468</v>
      </c>
      <c r="K1380" s="457" t="str">
        <f>'Part VIII-Threshold Criteria'!K222</f>
        <v>Building</v>
      </c>
      <c r="L1380" s="457">
        <f>'Part VIII-Threshold Criteria'!L222</f>
        <v>0</v>
      </c>
      <c r="Q1380" s="1314"/>
    </row>
    <row r="1381" spans="1:22">
      <c r="A1381" s="2098"/>
      <c r="B1381" s="2009" t="s">
        <v>1717</v>
      </c>
      <c r="C1381" s="2009" t="s">
        <v>4415</v>
      </c>
      <c r="E1381" s="2009"/>
      <c r="F1381" s="2009"/>
      <c r="G1381" s="2009"/>
      <c r="H1381" s="2009"/>
      <c r="I1381" s="1311"/>
      <c r="J1381" s="2098" t="s">
        <v>1469</v>
      </c>
      <c r="K1381" s="457" t="str">
        <f>'Part VIII-Threshold Criteria'!K223</f>
        <v>Covered Porch</v>
      </c>
      <c r="L1381" s="457">
        <f>'Part VIII-Threshold Criteria'!L223</f>
        <v>0</v>
      </c>
      <c r="M1381" s="2037" t="str">
        <f>'Part VIII-Threshold Criteria'!M223</f>
        <v>If "Other", explain here</v>
      </c>
      <c r="N1381" s="2037">
        <f>'Part VIII-Threshold Criteria'!N223</f>
        <v>0</v>
      </c>
      <c r="O1381" s="2037">
        <f>'Part VIII-Threshold Criteria'!O223</f>
        <v>0</v>
      </c>
      <c r="P1381" s="2037">
        <f>'Part VIII-Threshold Criteria'!P223</f>
        <v>0</v>
      </c>
      <c r="Q1381" s="1314"/>
    </row>
    <row r="1382" spans="1:22">
      <c r="A1382" s="2098"/>
      <c r="B1382" s="2009" t="s">
        <v>1718</v>
      </c>
      <c r="C1382" s="2009" t="s">
        <v>4418</v>
      </c>
      <c r="E1382" s="2009"/>
      <c r="F1382" s="2009"/>
      <c r="G1382" s="2009"/>
      <c r="H1382" s="2009"/>
      <c r="I1382" s="1311"/>
      <c r="J1382" s="2098" t="s">
        <v>1470</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860"/>
      <c r="Q1382" s="1314"/>
      <c r="R1382" s="1311"/>
    </row>
    <row r="1383" spans="1:22">
      <c r="A1383" s="2098"/>
      <c r="B1383" s="2009" t="s">
        <v>2336</v>
      </c>
      <c r="C1383" s="2009" t="s">
        <v>4417</v>
      </c>
      <c r="E1383" s="2009"/>
      <c r="F1383" s="2009"/>
      <c r="G1383" s="2009"/>
      <c r="H1383" s="2009"/>
      <c r="I1383" s="1311"/>
      <c r="J1383" s="2098" t="s">
        <v>4416</v>
      </c>
      <c r="K1383" s="457" t="str">
        <f>'Part VIII-Threshold Criteria'!K225</f>
        <v>W&amp;D installed in each unit</v>
      </c>
      <c r="L1383" s="457">
        <f>'Part VIII-Threshold Criteria'!L225</f>
        <v>0</v>
      </c>
      <c r="M1383" s="457">
        <f>'Part VIII-Threshold Criteria'!M225</f>
        <v>0</v>
      </c>
      <c r="N1383" s="457">
        <f>'Part VIII-Threshold Criteria'!N225</f>
        <v>0</v>
      </c>
      <c r="Q1383" s="1314"/>
      <c r="R1383" s="1311"/>
    </row>
    <row r="1384" spans="1:22">
      <c r="A1384" s="2098" t="s">
        <v>1959</v>
      </c>
      <c r="B1384" s="457" t="s">
        <v>2476</v>
      </c>
      <c r="D1384" s="457"/>
      <c r="E1384" s="457"/>
      <c r="F1384" s="457"/>
      <c r="G1384" s="457"/>
      <c r="H1384" s="457"/>
      <c r="I1384" s="457"/>
      <c r="J1384" s="457"/>
      <c r="K1384" s="1311"/>
      <c r="L1384" s="1311"/>
      <c r="M1384" s="1311"/>
      <c r="N1384" s="1311"/>
      <c r="O1384" s="2098" t="s">
        <v>1959</v>
      </c>
      <c r="P1384" s="1314" t="str">
        <f>'Part VIII-Threshold Criteria'!P226</f>
        <v>Agree</v>
      </c>
      <c r="Q1384" s="1314"/>
    </row>
    <row r="1385" spans="1:22">
      <c r="A1385" s="2098"/>
      <c r="B1385" s="457" t="s">
        <v>4779</v>
      </c>
      <c r="D1385" s="457"/>
      <c r="E1385" s="457"/>
      <c r="F1385" s="457"/>
      <c r="G1385" s="457"/>
      <c r="H1385" s="457"/>
      <c r="I1385" s="457"/>
      <c r="J1385" s="457"/>
      <c r="K1385" s="1311"/>
      <c r="L1385" s="1311"/>
      <c r="M1385" s="1311"/>
      <c r="N1385" s="2098" t="s">
        <v>3520</v>
      </c>
      <c r="O1385" s="2112">
        <f>'Part VI-Revenues &amp; Expenses'!$O$67</f>
        <v>84</v>
      </c>
      <c r="P1385" s="2025" t="s">
        <v>4645</v>
      </c>
      <c r="Q1385" s="2025"/>
    </row>
    <row r="1386" spans="1:22">
      <c r="A1386" s="2098"/>
      <c r="B1386" s="2009" t="s">
        <v>1716</v>
      </c>
      <c r="C1386" s="457" t="s">
        <v>4646</v>
      </c>
      <c r="D1386" s="457"/>
      <c r="E1386" s="457"/>
      <c r="F1386" s="457"/>
      <c r="H1386" s="2098" t="s">
        <v>4647</v>
      </c>
      <c r="I1386" s="457" t="s">
        <v>5058</v>
      </c>
      <c r="M1386" s="1311"/>
      <c r="N1386" s="1311"/>
      <c r="O1386" s="2113"/>
      <c r="P1386" s="2114" t="s">
        <v>762</v>
      </c>
      <c r="Q1386" s="2114" t="s">
        <v>4644</v>
      </c>
    </row>
    <row r="1387" spans="1:22" ht="15" customHeight="1">
      <c r="A1387" s="1314"/>
      <c r="B1387" s="2098" t="s">
        <v>2089</v>
      </c>
      <c r="C1387" s="2064" t="str">
        <f>'Part VIII-Threshold Criteria'!C229</f>
        <v>Furnished Exercise /Fitness Center</v>
      </c>
      <c r="D1387" s="2064">
        <f>'Part VIII-Threshold Criteria'!D229</f>
        <v>0</v>
      </c>
      <c r="E1387" s="2064">
        <f>'Part VIII-Threshold Criteria'!E229</f>
        <v>0</v>
      </c>
      <c r="F1387" s="2064">
        <f>'Part VIII-Threshold Criteria'!F229</f>
        <v>0</v>
      </c>
      <c r="G1387" s="2064">
        <f>'Part VIII-Threshold Criteria'!G229</f>
        <v>0</v>
      </c>
      <c r="H1387" s="2098" t="s">
        <v>2089</v>
      </c>
      <c r="I1387" s="1852" t="str">
        <f>'Part VIII-Threshold Criteria'!I229</f>
        <v xml:space="preserve">  </v>
      </c>
      <c r="J1387" s="1852">
        <f>'Part VIII-Threshold Criteria'!J229</f>
        <v>0</v>
      </c>
      <c r="K1387" s="1852">
        <f>'Part VIII-Threshold Criteria'!K229</f>
        <v>0</v>
      </c>
      <c r="L1387" s="1852">
        <f>'Part VIII-Threshold Criteria'!L229</f>
        <v>0</v>
      </c>
      <c r="M1387" s="1852">
        <f>'Part VIII-Threshold Criteria'!M229</f>
        <v>0</v>
      </c>
      <c r="N1387" s="1852">
        <f>'Part VIII-Threshold Criteria'!N229</f>
        <v>0</v>
      </c>
      <c r="O1387" s="1852">
        <f>'Part VIII-Threshold Criteria'!O229</f>
        <v>0</v>
      </c>
      <c r="P1387" s="1314"/>
      <c r="Q1387" s="1314"/>
      <c r="R1387" s="1315"/>
      <c r="S1387" s="1315"/>
      <c r="T1387" s="1315"/>
      <c r="U1387" s="1315"/>
      <c r="V1387" s="1315"/>
    </row>
    <row r="1388" spans="1:22" ht="15" customHeight="1">
      <c r="A1388" s="1314"/>
      <c r="B1388" s="2098" t="s">
        <v>2090</v>
      </c>
      <c r="C1388" s="2064" t="str">
        <f>'Part VIII-Threshold Criteria'!C230</f>
        <v>Fenced community gardens</v>
      </c>
      <c r="D1388" s="2064">
        <f>'Part VIII-Threshold Criteria'!D230</f>
        <v>0</v>
      </c>
      <c r="E1388" s="2064">
        <f>'Part VIII-Threshold Criteria'!E230</f>
        <v>0</v>
      </c>
      <c r="F1388" s="2064">
        <f>'Part VIII-Threshold Criteria'!F230</f>
        <v>0</v>
      </c>
      <c r="G1388" s="2064">
        <f>'Part VIII-Threshold Criteria'!G230</f>
        <v>0</v>
      </c>
      <c r="H1388" s="2098" t="s">
        <v>2090</v>
      </c>
      <c r="I1388" s="1852">
        <f>'Part VIII-Threshold Criteria'!I230</f>
        <v>0</v>
      </c>
      <c r="J1388" s="1852">
        <f>'Part VIII-Threshold Criteria'!J230</f>
        <v>0</v>
      </c>
      <c r="K1388" s="1852">
        <f>'Part VIII-Threshold Criteria'!K230</f>
        <v>0</v>
      </c>
      <c r="L1388" s="1852">
        <f>'Part VIII-Threshold Criteria'!L230</f>
        <v>0</v>
      </c>
      <c r="M1388" s="1852">
        <f>'Part VIII-Threshold Criteria'!M230</f>
        <v>0</v>
      </c>
      <c r="N1388" s="1852">
        <f>'Part VIII-Threshold Criteria'!N230</f>
        <v>0</v>
      </c>
      <c r="O1388" s="1852">
        <f>'Part VIII-Threshold Criteria'!O230</f>
        <v>0</v>
      </c>
      <c r="P1388" s="1314"/>
      <c r="Q1388" s="1314"/>
      <c r="R1388" s="1315"/>
      <c r="S1388" s="1315"/>
      <c r="T1388" s="1315"/>
      <c r="U1388" s="1315"/>
      <c r="V1388" s="1315"/>
    </row>
    <row r="1389" spans="1:22" ht="15" customHeight="1">
      <c r="A1389" s="1314"/>
      <c r="B1389" s="2098" t="s">
        <v>1713</v>
      </c>
      <c r="C1389" s="2064" t="str">
        <f>'Part VIII-Threshold Criteria'!C231</f>
        <v xml:space="preserve">Equipped Computer Center and WiFi </v>
      </c>
      <c r="D1389" s="2064">
        <f>'Part VIII-Threshold Criteria'!D231</f>
        <v>0</v>
      </c>
      <c r="E1389" s="2064">
        <f>'Part VIII-Threshold Criteria'!E231</f>
        <v>0</v>
      </c>
      <c r="F1389" s="2064">
        <f>'Part VIII-Threshold Criteria'!F231</f>
        <v>0</v>
      </c>
      <c r="G1389" s="2064">
        <f>'Part VIII-Threshold Criteria'!G231</f>
        <v>0</v>
      </c>
      <c r="H1389" s="2098" t="s">
        <v>1713</v>
      </c>
      <c r="I1389" s="1852" t="str">
        <f>'Part VIII-Threshold Criteria'!I231</f>
        <v xml:space="preserve">  </v>
      </c>
      <c r="J1389" s="1852">
        <f>'Part VIII-Threshold Criteria'!J231</f>
        <v>0</v>
      </c>
      <c r="K1389" s="1852">
        <f>'Part VIII-Threshold Criteria'!K231</f>
        <v>0</v>
      </c>
      <c r="L1389" s="1852">
        <f>'Part VIII-Threshold Criteria'!L231</f>
        <v>0</v>
      </c>
      <c r="M1389" s="1852">
        <f>'Part VIII-Threshold Criteria'!M231</f>
        <v>0</v>
      </c>
      <c r="N1389" s="1852">
        <f>'Part VIII-Threshold Criteria'!N231</f>
        <v>0</v>
      </c>
      <c r="O1389" s="1852">
        <f>'Part VIII-Threshold Criteria'!O231</f>
        <v>0</v>
      </c>
      <c r="P1389" s="1314"/>
      <c r="Q1389" s="1314"/>
      <c r="R1389" s="1315"/>
      <c r="S1389" s="1315"/>
      <c r="T1389" s="1315"/>
      <c r="U1389" s="1315"/>
      <c r="V1389" s="1315"/>
    </row>
    <row r="1390" spans="1:22" ht="15" customHeight="1">
      <c r="A1390" s="1314"/>
      <c r="B1390" s="2098" t="s">
        <v>4655</v>
      </c>
      <c r="C1390" s="2064">
        <f>'Part VIII-Threshold Criteria'!C232</f>
        <v>0</v>
      </c>
      <c r="D1390" s="2064">
        <f>'Part VIII-Threshold Criteria'!D232</f>
        <v>0</v>
      </c>
      <c r="E1390" s="2064">
        <f>'Part VIII-Threshold Criteria'!E232</f>
        <v>0</v>
      </c>
      <c r="F1390" s="2064">
        <f>'Part VIII-Threshold Criteria'!F232</f>
        <v>0</v>
      </c>
      <c r="G1390" s="2064">
        <f>'Part VIII-Threshold Criteria'!G232</f>
        <v>0</v>
      </c>
      <c r="H1390" s="2098" t="s">
        <v>4655</v>
      </c>
      <c r="I1390" s="1852">
        <f>'Part VIII-Threshold Criteria'!I232</f>
        <v>0</v>
      </c>
      <c r="J1390" s="1852">
        <f>'Part VIII-Threshold Criteria'!J232</f>
        <v>0</v>
      </c>
      <c r="K1390" s="1852">
        <f>'Part VIII-Threshold Criteria'!K232</f>
        <v>0</v>
      </c>
      <c r="L1390" s="1852">
        <f>'Part VIII-Threshold Criteria'!L232</f>
        <v>0</v>
      </c>
      <c r="M1390" s="1852">
        <f>'Part VIII-Threshold Criteria'!M232</f>
        <v>0</v>
      </c>
      <c r="N1390" s="1852">
        <f>'Part VIII-Threshold Criteria'!N232</f>
        <v>0</v>
      </c>
      <c r="O1390" s="1852">
        <f>'Part VIII-Threshold Criteria'!O232</f>
        <v>0</v>
      </c>
      <c r="P1390" s="1314"/>
      <c r="Q1390" s="1314"/>
      <c r="R1390" s="1315"/>
      <c r="S1390" s="1315"/>
      <c r="T1390" s="1315"/>
      <c r="U1390" s="1315"/>
      <c r="V1390" s="1315"/>
    </row>
    <row r="1391" spans="1:22">
      <c r="A1391" s="2098" t="s">
        <v>738</v>
      </c>
      <c r="B1391" s="457" t="s">
        <v>1366</v>
      </c>
      <c r="C1391" s="457"/>
      <c r="D1391" s="1860"/>
      <c r="E1391" s="457"/>
      <c r="F1391" s="457"/>
      <c r="G1391" s="457"/>
      <c r="H1391" s="457"/>
      <c r="I1391" s="457"/>
      <c r="J1391" s="457"/>
      <c r="K1391" s="1311"/>
      <c r="L1391" s="457"/>
      <c r="M1391" s="457"/>
      <c r="N1391" s="1860"/>
      <c r="O1391" s="457" t="s">
        <v>738</v>
      </c>
      <c r="P1391" s="1314" t="str">
        <f>'Part VIII-Threshold Criteria'!P233</f>
        <v>Agree</v>
      </c>
      <c r="Q1391" s="1314"/>
    </row>
    <row r="1392" spans="1:22">
      <c r="A1392" s="2098"/>
      <c r="B1392" s="2009" t="s">
        <v>1716</v>
      </c>
      <c r="C1392" s="457" t="s">
        <v>3398</v>
      </c>
      <c r="E1392" s="457"/>
      <c r="F1392" s="457"/>
      <c r="L1392" s="1311"/>
      <c r="M1392" s="1311"/>
      <c r="O1392" s="2098" t="s">
        <v>1716</v>
      </c>
      <c r="P1392" s="1314" t="str">
        <f>'Part VIII-Threshold Criteria'!P234</f>
        <v>Yes</v>
      </c>
      <c r="Q1392" s="1314"/>
    </row>
    <row r="1393" spans="1:22">
      <c r="B1393" s="2009" t="s">
        <v>1717</v>
      </c>
      <c r="C1393" s="2009" t="s">
        <v>2759</v>
      </c>
      <c r="E1393" s="2009"/>
      <c r="F1393" s="2009"/>
      <c r="L1393" s="1311"/>
      <c r="M1393" s="1311"/>
      <c r="O1393" s="2098" t="s">
        <v>1717</v>
      </c>
      <c r="P1393" s="1314" t="str">
        <f>'Part VIII-Threshold Criteria'!P235</f>
        <v>Yes</v>
      </c>
      <c r="Q1393" s="1314"/>
    </row>
    <row r="1394" spans="1:22">
      <c r="B1394" s="2009" t="s">
        <v>1718</v>
      </c>
      <c r="C1394" s="2009" t="s">
        <v>2760</v>
      </c>
      <c r="E1394" s="2009"/>
      <c r="F1394" s="2009"/>
      <c r="G1394" s="2009"/>
      <c r="H1394" s="2009"/>
      <c r="I1394" s="1311"/>
      <c r="J1394" s="1311"/>
      <c r="K1394" s="1311"/>
      <c r="L1394" s="1311"/>
      <c r="M1394" s="1311"/>
      <c r="O1394" s="2098" t="s">
        <v>1718</v>
      </c>
      <c r="P1394" s="1314" t="str">
        <f>'Part VIII-Threshold Criteria'!P236</f>
        <v>Yes</v>
      </c>
      <c r="Q1394" s="1314"/>
    </row>
    <row r="1395" spans="1:22">
      <c r="A1395" s="2098"/>
      <c r="B1395" s="2009" t="s">
        <v>2336</v>
      </c>
      <c r="C1395" s="2009" t="s">
        <v>2761</v>
      </c>
      <c r="E1395" s="2009"/>
      <c r="F1395" s="2009"/>
      <c r="G1395" s="2009"/>
      <c r="H1395" s="2009"/>
      <c r="I1395" s="1311"/>
      <c r="J1395" s="1311"/>
      <c r="K1395" s="1311"/>
      <c r="L1395" s="1311"/>
      <c r="M1395" s="1311"/>
      <c r="O1395" s="2098" t="s">
        <v>2336</v>
      </c>
      <c r="P1395" s="1314" t="str">
        <f>'Part VIII-Threshold Criteria'!P237</f>
        <v>Yes</v>
      </c>
      <c r="Q1395" s="1314"/>
    </row>
    <row r="1396" spans="1:22">
      <c r="A1396" s="2098"/>
      <c r="B1396" s="2009" t="s">
        <v>1530</v>
      </c>
      <c r="C1396" s="2009" t="s">
        <v>2762</v>
      </c>
      <c r="E1396" s="2009"/>
      <c r="F1396" s="2009"/>
      <c r="G1396" s="2009"/>
      <c r="H1396" s="2009"/>
      <c r="I1396" s="1311"/>
      <c r="J1396" s="1311"/>
      <c r="K1396" s="1311"/>
      <c r="L1396" s="1311"/>
      <c r="M1396" s="1311"/>
      <c r="O1396" s="2098" t="s">
        <v>1530</v>
      </c>
      <c r="P1396" s="1314" t="str">
        <f>'Part VIII-Threshold Criteria'!P238</f>
        <v>Yes</v>
      </c>
      <c r="Q1396" s="1314"/>
    </row>
    <row r="1397" spans="1:22">
      <c r="A1397" s="2098"/>
      <c r="B1397" s="2009" t="s">
        <v>1531</v>
      </c>
      <c r="C1397" s="457" t="s">
        <v>763</v>
      </c>
      <c r="E1397" s="457"/>
      <c r="F1397" s="457"/>
      <c r="G1397" s="457"/>
      <c r="H1397" s="457"/>
      <c r="I1397" s="1311"/>
      <c r="J1397" s="1311"/>
      <c r="K1397" s="1311"/>
      <c r="L1397" s="1311"/>
      <c r="M1397" s="1311"/>
      <c r="O1397" s="2098" t="s">
        <v>2751</v>
      </c>
      <c r="P1397" s="1314">
        <f>'Part VIII-Threshold Criteria'!P239</f>
        <v>0</v>
      </c>
      <c r="Q1397" s="1314"/>
    </row>
    <row r="1398" spans="1:22">
      <c r="A1398" s="2098"/>
      <c r="B1398" s="2098"/>
      <c r="C1398" s="457" t="s">
        <v>1471</v>
      </c>
      <c r="E1398" s="457"/>
      <c r="F1398" s="457"/>
      <c r="G1398" s="457"/>
      <c r="H1398" s="457"/>
      <c r="I1398" s="1311"/>
      <c r="J1398" s="1311"/>
      <c r="K1398" s="1311"/>
      <c r="L1398" s="1311"/>
      <c r="M1398" s="1311"/>
      <c r="O1398" s="2098" t="s">
        <v>2752</v>
      </c>
      <c r="P1398" s="1314" t="str">
        <f>'Part VIII-Threshold Criteria'!P240</f>
        <v>Yes</v>
      </c>
      <c r="Q1398" s="1314"/>
    </row>
    <row r="1399" spans="1:22">
      <c r="A1399" s="2098" t="s">
        <v>2088</v>
      </c>
      <c r="B1399" s="457" t="s">
        <v>3563</v>
      </c>
      <c r="C1399" s="457"/>
      <c r="E1399" s="457"/>
      <c r="F1399" s="457"/>
      <c r="G1399" s="457"/>
      <c r="H1399" s="457"/>
      <c r="I1399" s="457"/>
      <c r="J1399" s="457"/>
      <c r="K1399" s="1311"/>
      <c r="M1399" s="2098" t="s">
        <v>4500</v>
      </c>
      <c r="N1399" s="2009" t="str">
        <f>'Part I-Project Information'!$H$82</f>
        <v>Family</v>
      </c>
      <c r="O1399" s="2098" t="s">
        <v>2088</v>
      </c>
      <c r="P1399" s="1314">
        <f>'Part VIII-Threshold Criteria'!P241</f>
        <v>0</v>
      </c>
      <c r="Q1399" s="1314"/>
    </row>
    <row r="1400" spans="1:22">
      <c r="B1400" s="2098" t="s">
        <v>1716</v>
      </c>
      <c r="C1400" s="457" t="s">
        <v>1240</v>
      </c>
      <c r="E1400" s="1311"/>
      <c r="F1400" s="1311"/>
      <c r="G1400" s="457"/>
      <c r="H1400" s="2009"/>
      <c r="I1400" s="1311"/>
      <c r="J1400" s="2009"/>
      <c r="K1400" s="1311"/>
      <c r="L1400" s="2009"/>
      <c r="M1400" s="2009"/>
      <c r="O1400" s="2098" t="s">
        <v>1716</v>
      </c>
      <c r="P1400" s="1314">
        <f>'Part VIII-Threshold Criteria'!P242</f>
        <v>0</v>
      </c>
      <c r="Q1400" s="1314"/>
    </row>
    <row r="1401" spans="1:22">
      <c r="B1401" s="2098" t="s">
        <v>1717</v>
      </c>
      <c r="C1401" s="457" t="s">
        <v>4431</v>
      </c>
      <c r="E1401" s="1311"/>
      <c r="F1401" s="1311"/>
      <c r="G1401" s="2009"/>
      <c r="H1401" s="2009"/>
      <c r="I1401" s="1311"/>
      <c r="J1401" s="2009"/>
      <c r="K1401" s="1311"/>
      <c r="L1401" s="2009"/>
      <c r="M1401" s="2009"/>
      <c r="O1401" s="2098" t="s">
        <v>1717</v>
      </c>
      <c r="P1401" s="1314">
        <f>'Part VIII-Threshold Criteria'!P243</f>
        <v>0</v>
      </c>
      <c r="Q1401" s="1314"/>
    </row>
    <row r="1402" spans="1:22">
      <c r="B1402" s="2010" t="s">
        <v>3644</v>
      </c>
      <c r="D1402" s="2010"/>
      <c r="E1402" s="2010"/>
      <c r="F1402" s="2010"/>
      <c r="G1402" s="2010"/>
      <c r="H1402" s="2009"/>
      <c r="I1402" s="1314"/>
      <c r="J1402" s="1314"/>
      <c r="K1402" s="1314"/>
      <c r="L1402" s="1958"/>
      <c r="M1402" s="1958"/>
      <c r="N1402" s="1958"/>
      <c r="O1402" s="1958"/>
      <c r="P1402" s="1958"/>
      <c r="Q1402" s="1958"/>
    </row>
    <row r="1403" spans="1:22" ht="408">
      <c r="A1403" s="2064" t="str">
        <f>'Part VIII-Threshold Criteria'!A245</f>
        <v>The proposed development consists of 84 units; therefore, only two additional site amenities were required. The applicant selected an additonal amenity (Equipped Computer Center with WiFi) in conjunction with the programming outlined in the Enriched Property Services.  All DCA amenity guidelines will be adhered to.  Additionally, all amenities have been identified on the Conceputal Site Development Plan included in Tab 15.</v>
      </c>
      <c r="B1403" s="2064"/>
      <c r="C1403" s="2064"/>
      <c r="D1403" s="2064"/>
      <c r="E1403" s="2064"/>
      <c r="F1403" s="2064"/>
      <c r="G1403" s="2064"/>
      <c r="H1403" s="2064"/>
      <c r="I1403" s="2064"/>
      <c r="J1403" s="2064"/>
      <c r="K1403" s="2064"/>
      <c r="L1403" s="2064"/>
      <c r="M1403" s="2064"/>
      <c r="N1403" s="2064"/>
      <c r="O1403" s="2064"/>
      <c r="P1403" s="2064"/>
      <c r="Q1403" s="2064"/>
      <c r="R1403" s="2065" t="s">
        <v>1239</v>
      </c>
      <c r="S1403" s="2065"/>
      <c r="U1403" s="1957"/>
      <c r="V1403" s="1957"/>
    </row>
    <row r="1404" spans="1:22">
      <c r="A1404" s="1860"/>
      <c r="B1404" s="2066" t="s">
        <v>1841</v>
      </c>
      <c r="C1404" s="2067"/>
      <c r="D1404" s="2064"/>
      <c r="E1404" s="2064"/>
      <c r="F1404" s="2064"/>
      <c r="G1404" s="2064"/>
      <c r="H1404" s="2064"/>
      <c r="I1404" s="2064"/>
      <c r="J1404" s="2064"/>
      <c r="K1404" s="2064"/>
      <c r="L1404" s="2064"/>
      <c r="M1404" s="2064"/>
      <c r="N1404" s="2064"/>
      <c r="O1404" s="2064"/>
      <c r="P1404" s="2064"/>
      <c r="Q1404" s="2064"/>
    </row>
    <row r="1405" spans="1:22">
      <c r="A1405" s="2064">
        <f>'Part VIII-Threshold Criteria'!A247</f>
        <v>0</v>
      </c>
      <c r="B1405" s="2064"/>
      <c r="C1405" s="2064"/>
      <c r="D1405" s="2064"/>
      <c r="E1405" s="2064"/>
      <c r="F1405" s="2064"/>
      <c r="G1405" s="2064"/>
      <c r="H1405" s="2064"/>
      <c r="I1405" s="2064"/>
      <c r="J1405" s="2064"/>
      <c r="K1405" s="2064"/>
      <c r="L1405" s="2064"/>
      <c r="M1405" s="2064"/>
      <c r="N1405" s="2064"/>
      <c r="O1405" s="2064"/>
      <c r="P1405" s="2064"/>
      <c r="Q1405" s="2064"/>
    </row>
    <row r="1406" spans="1:22">
      <c r="A1406" s="1957"/>
      <c r="B1406" s="457"/>
      <c r="C1406" s="2064"/>
      <c r="D1406" s="2064"/>
      <c r="E1406" s="2064"/>
      <c r="F1406" s="2064"/>
      <c r="G1406" s="2064"/>
      <c r="H1406" s="2064"/>
      <c r="I1406" s="2064"/>
      <c r="J1406" s="2064"/>
      <c r="K1406" s="2064"/>
      <c r="L1406" s="2064"/>
      <c r="M1406" s="2064"/>
      <c r="N1406" s="1860"/>
      <c r="O1406" s="1860"/>
      <c r="P1406" s="1860"/>
      <c r="Q1406" s="1957"/>
    </row>
    <row r="1407" spans="1:22">
      <c r="A1407" s="1949" t="s">
        <v>2736</v>
      </c>
      <c r="B1407" s="1311" t="s">
        <v>2625</v>
      </c>
      <c r="C1407" s="1311"/>
      <c r="D1407" s="457"/>
      <c r="E1407" s="457"/>
      <c r="F1407" s="457"/>
      <c r="G1407" s="457"/>
      <c r="H1407" s="2068"/>
      <c r="I1407" s="2068"/>
      <c r="J1407" s="2068"/>
      <c r="K1407" s="2068"/>
      <c r="L1407" s="2036"/>
      <c r="M1407" s="2115"/>
      <c r="O1407" s="2062" t="s">
        <v>1842</v>
      </c>
      <c r="P1407" s="1957"/>
      <c r="Q1407" s="1957"/>
    </row>
    <row r="1408" spans="1:22">
      <c r="A1408" s="2098" t="s">
        <v>1957</v>
      </c>
      <c r="B1408" s="457" t="s">
        <v>1253</v>
      </c>
      <c r="D1408" s="1311"/>
      <c r="E1408" s="457"/>
      <c r="F1408" s="457"/>
      <c r="J1408" s="2098" t="s">
        <v>1957</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1749</v>
      </c>
      <c r="Q1408" s="457"/>
    </row>
    <row r="1409" spans="1:17">
      <c r="A1409" s="2098" t="s">
        <v>1959</v>
      </c>
      <c r="B1409" s="457" t="s">
        <v>2763</v>
      </c>
      <c r="D1409" s="457"/>
      <c r="E1409" s="457"/>
      <c r="F1409" s="457"/>
      <c r="J1409" s="2098" t="s">
        <v>1959</v>
      </c>
      <c r="K1409" s="2116">
        <f>'Part VIII-Threshold Criteria'!K251</f>
        <v>0</v>
      </c>
      <c r="L1409" s="2116">
        <f>'Part VIII-Threshold Criteria'!L251</f>
        <v>0</v>
      </c>
      <c r="M1409" s="2116">
        <f>'Part VIII-Threshold Criteria'!M251</f>
        <v>0</v>
      </c>
      <c r="N1409" s="2116">
        <f>'Part VIII-Threshold Criteria'!N251</f>
        <v>0</v>
      </c>
      <c r="O1409" s="2116">
        <f>'Part VIII-Threshold Criteria'!O251</f>
        <v>0</v>
      </c>
      <c r="P1409" s="2116"/>
      <c r="Q1409" s="2116"/>
    </row>
    <row r="1410" spans="1:17">
      <c r="A1410" s="2098"/>
      <c r="B1410" s="457" t="s">
        <v>1919</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2098"/>
      <c r="B1411" s="457" t="s">
        <v>2510</v>
      </c>
      <c r="D1411" s="457"/>
      <c r="E1411" s="457"/>
      <c r="F1411" s="457"/>
      <c r="G1411" s="457"/>
      <c r="H1411" s="457"/>
      <c r="I1411" s="1311"/>
      <c r="J1411" s="1311"/>
      <c r="K1411" s="1860"/>
      <c r="L1411" s="1860"/>
      <c r="M1411" s="457"/>
      <c r="N1411" s="2117"/>
      <c r="O1411" s="457"/>
      <c r="P1411" s="457">
        <f>'Part VIII-Threshold Criteria'!P253</f>
        <v>0</v>
      </c>
      <c r="Q1411" s="457"/>
    </row>
    <row r="1412" spans="1:17">
      <c r="A1412" s="2098" t="s">
        <v>738</v>
      </c>
      <c r="B1412" s="457" t="s">
        <v>4576</v>
      </c>
      <c r="D1412" s="457"/>
      <c r="E1412" s="457"/>
      <c r="F1412" s="457"/>
      <c r="J1412" s="2098" t="s">
        <v>738</v>
      </c>
      <c r="K1412" s="2116">
        <f>'Part VIII-Threshold Criteria'!K254</f>
        <v>0</v>
      </c>
      <c r="L1412" s="2116">
        <f>'Part VIII-Threshold Criteria'!L254</f>
        <v>0</v>
      </c>
      <c r="M1412" s="2116">
        <f>'Part VIII-Threshold Criteria'!M254</f>
        <v>0</v>
      </c>
      <c r="N1412" s="2116">
        <f>'Part VIII-Threshold Criteria'!N254</f>
        <v>0</v>
      </c>
      <c r="O1412" s="2116">
        <f>'Part VIII-Threshold Criteria'!O254</f>
        <v>0</v>
      </c>
      <c r="P1412" s="2116"/>
      <c r="Q1412" s="2116"/>
    </row>
    <row r="1413" spans="1:17">
      <c r="A1413" s="2098"/>
      <c r="B1413" s="457" t="s">
        <v>4437</v>
      </c>
      <c r="D1413" s="457"/>
      <c r="E1413" s="457"/>
      <c r="F1413" s="457"/>
    </row>
    <row r="1414" spans="1:17">
      <c r="A1414" s="2098"/>
      <c r="C1414" s="457" t="s">
        <v>4434</v>
      </c>
      <c r="D1414" s="457"/>
      <c r="E1414" s="457"/>
      <c r="F1414" s="457"/>
      <c r="K1414" s="457" t="s">
        <v>4433</v>
      </c>
      <c r="L1414" s="2102">
        <f>'Part VIII-Threshold Criteria'!L256</f>
        <v>0</v>
      </c>
      <c r="M1414" s="457"/>
      <c r="N1414" s="2117"/>
      <c r="O1414" s="2117"/>
      <c r="P1414" s="457">
        <f>'Part VIII-Threshold Criteria'!P256</f>
        <v>0</v>
      </c>
      <c r="Q1414" s="457"/>
    </row>
    <row r="1415" spans="1:17">
      <c r="A1415" s="2098"/>
      <c r="B1415" s="457"/>
      <c r="C1415" s="1051" t="s">
        <v>4435</v>
      </c>
      <c r="D1415" s="457"/>
      <c r="E1415" s="457"/>
      <c r="F1415" s="457"/>
      <c r="K1415" s="2098" t="s">
        <v>4436</v>
      </c>
      <c r="L1415" s="2118">
        <f>'Part VIII-Threshold Criteria'!L257</f>
        <v>0</v>
      </c>
      <c r="M1415" s="457"/>
      <c r="N1415" s="2119"/>
      <c r="O1415" s="2119"/>
      <c r="P1415" s="1314">
        <f>'Part VIII-Threshold Criteria'!P257</f>
        <v>0</v>
      </c>
      <c r="Q1415" s="1314"/>
    </row>
    <row r="1416" spans="1:17">
      <c r="A1416" s="2098"/>
      <c r="B1416" s="457" t="s">
        <v>4432</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2098" t="s">
        <v>2088</v>
      </c>
      <c r="B1417" s="457" t="s">
        <v>3768</v>
      </c>
      <c r="D1417" s="457"/>
      <c r="E1417" s="457"/>
      <c r="F1417" s="457"/>
      <c r="G1417" s="457"/>
      <c r="H1417" s="457"/>
      <c r="I1417" s="1311"/>
      <c r="J1417" s="1311"/>
      <c r="K1417" s="1311"/>
      <c r="M1417" s="457"/>
      <c r="N1417" s="2119"/>
      <c r="O1417" s="2098" t="s">
        <v>2088</v>
      </c>
      <c r="P1417" s="1314">
        <f>'Part VIII-Threshold Criteria'!P259</f>
        <v>0</v>
      </c>
      <c r="Q1417" s="1314"/>
    </row>
    <row r="1418" spans="1:17" ht="12.75" customHeight="1">
      <c r="A1418" s="2098"/>
      <c r="B1418" s="2064" t="s">
        <v>3650</v>
      </c>
      <c r="C1418" s="2064"/>
      <c r="D1418" s="2064"/>
      <c r="E1418" s="2064"/>
      <c r="F1418" s="2064"/>
      <c r="G1418" s="2064"/>
      <c r="H1418" s="1051" t="s">
        <v>3929</v>
      </c>
      <c r="K1418" s="1311"/>
      <c r="L1418" s="1860"/>
      <c r="M1418" s="457"/>
      <c r="N1418" s="2117"/>
      <c r="O1418" s="457" t="s">
        <v>1716</v>
      </c>
      <c r="P1418" s="457">
        <f>'Part VIII-Threshold Criteria'!P260</f>
        <v>0</v>
      </c>
      <c r="Q1418" s="457"/>
    </row>
    <row r="1419" spans="1:17">
      <c r="A1419" s="2098"/>
      <c r="B1419" s="2064"/>
      <c r="C1419" s="2064"/>
      <c r="D1419" s="2064"/>
      <c r="E1419" s="2064"/>
      <c r="F1419" s="2064"/>
      <c r="G1419" s="2064"/>
      <c r="H1419" s="1051" t="s">
        <v>3930</v>
      </c>
      <c r="K1419" s="1311"/>
      <c r="M1419" s="457"/>
      <c r="N1419" s="2119"/>
      <c r="O1419" s="2098" t="s">
        <v>1717</v>
      </c>
      <c r="P1419" s="1314">
        <f>'Part VIII-Threshold Criteria'!P261</f>
        <v>0</v>
      </c>
      <c r="Q1419" s="1314"/>
    </row>
    <row r="1420" spans="1:17">
      <c r="A1420" s="2098"/>
      <c r="B1420" s="457"/>
      <c r="C1420" s="1860"/>
      <c r="D1420" s="457"/>
      <c r="E1420" s="457"/>
      <c r="F1420" s="457"/>
      <c r="G1420" s="457"/>
      <c r="H1420" s="1051" t="s">
        <v>3931</v>
      </c>
      <c r="K1420" s="1311"/>
      <c r="M1420" s="457"/>
      <c r="N1420" s="2119"/>
      <c r="O1420" s="2098" t="s">
        <v>1718</v>
      </c>
      <c r="P1420" s="1314">
        <f>'Part VIII-Threshold Criteria'!P262</f>
        <v>0</v>
      </c>
      <c r="Q1420" s="1314"/>
    </row>
    <row r="1421" spans="1:17">
      <c r="A1421" s="2098"/>
      <c r="B1421" s="457"/>
      <c r="C1421" s="1860"/>
      <c r="D1421" s="457"/>
      <c r="E1421" s="457"/>
      <c r="F1421" s="457"/>
      <c r="G1421" s="457"/>
      <c r="H1421" s="1051" t="s">
        <v>3932</v>
      </c>
      <c r="K1421" s="1311"/>
      <c r="M1421" s="457"/>
      <c r="N1421" s="2119"/>
      <c r="O1421" s="2098" t="s">
        <v>2336</v>
      </c>
      <c r="P1421" s="1314">
        <f>'Part VIII-Threshold Criteria'!P263</f>
        <v>0</v>
      </c>
      <c r="Q1421" s="1314"/>
    </row>
    <row r="1422" spans="1:17" ht="12.75" customHeight="1">
      <c r="B1422" s="2064" t="s">
        <v>5059</v>
      </c>
      <c r="C1422" s="2064"/>
      <c r="D1422" s="2064"/>
      <c r="E1422" s="2064"/>
      <c r="F1422" s="2064"/>
      <c r="G1422" s="2064"/>
      <c r="H1422" s="2064"/>
      <c r="I1422" s="2064"/>
      <c r="J1422" s="2064"/>
      <c r="K1422" s="2064"/>
      <c r="L1422" s="2064"/>
      <c r="M1422" s="2064"/>
      <c r="N1422" s="2064"/>
      <c r="O1422" s="2095"/>
      <c r="P1422" s="2096">
        <f>'Part VIII-Threshold Criteria'!P264</f>
        <v>0</v>
      </c>
      <c r="Q1422" s="2096"/>
    </row>
    <row r="1423" spans="1:17" ht="12.75" customHeight="1">
      <c r="A1423" s="2095" t="s">
        <v>1714</v>
      </c>
      <c r="B1423" s="2064" t="s">
        <v>5060</v>
      </c>
      <c r="C1423" s="2064"/>
      <c r="D1423" s="2064"/>
      <c r="E1423" s="2064"/>
      <c r="F1423" s="2064"/>
      <c r="G1423" s="2064"/>
      <c r="H1423" s="2064"/>
      <c r="I1423" s="2064"/>
      <c r="J1423" s="2064"/>
      <c r="K1423" s="2064"/>
      <c r="L1423" s="2064"/>
      <c r="M1423" s="2064"/>
      <c r="N1423" s="2064"/>
      <c r="O1423" s="2095" t="s">
        <v>1714</v>
      </c>
      <c r="P1423" s="2096">
        <f>'Part VIII-Threshold Criteria'!P265</f>
        <v>0</v>
      </c>
      <c r="Q1423" s="2096"/>
    </row>
    <row r="1424" spans="1:17" ht="12.75" customHeight="1">
      <c r="B1424" s="2064" t="s">
        <v>4780</v>
      </c>
      <c r="C1424" s="2064"/>
      <c r="D1424" s="2064"/>
      <c r="E1424" s="2064"/>
      <c r="F1424" s="2064"/>
      <c r="G1424" s="2064"/>
      <c r="H1424" s="2064"/>
      <c r="I1424" s="2064"/>
      <c r="J1424" s="2064"/>
      <c r="K1424" s="2064"/>
      <c r="L1424" s="2064"/>
      <c r="M1424" s="2064"/>
      <c r="N1424" s="2064"/>
      <c r="O1424" s="2095"/>
      <c r="P1424" s="2096">
        <f>'Part VIII-Threshold Criteria'!P266</f>
        <v>0</v>
      </c>
      <c r="Q1424" s="2096"/>
    </row>
    <row r="1425" spans="1:22">
      <c r="B1425" s="457" t="s">
        <v>1716</v>
      </c>
      <c r="C1425" s="457" t="s">
        <v>4747</v>
      </c>
      <c r="D1425" s="1860"/>
      <c r="E1425" s="457"/>
      <c r="F1425" s="457"/>
      <c r="G1425" s="1860"/>
      <c r="H1425" s="1860"/>
      <c r="I1425" s="1860"/>
      <c r="J1425" s="1860"/>
      <c r="K1425" s="1860"/>
      <c r="L1425" s="1311"/>
      <c r="M1425" s="1311"/>
      <c r="N1425" s="1860"/>
      <c r="O1425" s="2098" t="s">
        <v>1716</v>
      </c>
      <c r="P1425" s="1314">
        <f>'Part VIII-Threshold Criteria'!P267</f>
        <v>0</v>
      </c>
      <c r="Q1425" s="1314"/>
    </row>
    <row r="1426" spans="1:22">
      <c r="B1426" s="457"/>
      <c r="C1426" s="1860"/>
      <c r="D1426" s="2025" t="s">
        <v>3733</v>
      </c>
      <c r="E1426" s="457">
        <f>'Part VIII-Threshold Criteria'!E268</f>
        <v>0</v>
      </c>
      <c r="F1426" s="457">
        <f>'Part VIII-Threshold Criteria'!F268</f>
        <v>0</v>
      </c>
      <c r="G1426" s="457">
        <f>'Part VIII-Threshold Criteria'!G268</f>
        <v>0</v>
      </c>
      <c r="H1426" s="457" t="s">
        <v>4616</v>
      </c>
      <c r="I1426" s="457" t="str">
        <f>'Part VIII-Threshold Criteria'!I268</f>
        <v>&lt;&lt; Select Entity Type &gt;&gt;</v>
      </c>
      <c r="J1426" s="457">
        <f>'Part VIII-Threshold Criteria'!J268</f>
        <v>0</v>
      </c>
      <c r="K1426" s="457">
        <f>'Part VIII-Threshold Criteria'!K268</f>
        <v>0</v>
      </c>
      <c r="L1426" s="457" t="s">
        <v>4618</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2061"/>
    </row>
    <row r="1427" spans="1:22">
      <c r="A1427" s="2098"/>
      <c r="B1427" s="2098" t="s">
        <v>1717</v>
      </c>
      <c r="C1427" s="2009" t="s">
        <v>4748</v>
      </c>
      <c r="E1427" s="2009"/>
      <c r="F1427" s="2009"/>
      <c r="G1427" s="2009"/>
      <c r="H1427" s="2009"/>
      <c r="I1427" s="1311"/>
      <c r="J1427" s="1311"/>
      <c r="K1427" s="1311"/>
      <c r="L1427" s="1311"/>
      <c r="M1427" s="1311"/>
      <c r="O1427" s="2098" t="s">
        <v>1717</v>
      </c>
      <c r="P1427" s="1314">
        <f>'Part VIII-Threshold Criteria'!P269</f>
        <v>0</v>
      </c>
      <c r="Q1427" s="1314"/>
      <c r="S1427" s="2098"/>
      <c r="U1427" s="2061"/>
    </row>
    <row r="1428" spans="1:22">
      <c r="A1428" s="2098"/>
      <c r="B1428" s="2098"/>
      <c r="D1428" s="1051" t="s">
        <v>2272</v>
      </c>
      <c r="E1428" s="457">
        <f>'Part VIII-Threshold Criteria'!E270</f>
        <v>0</v>
      </c>
      <c r="F1428" s="457">
        <f>'Part VIII-Threshold Criteria'!F270</f>
        <v>0</v>
      </c>
      <c r="G1428" s="457">
        <f>'Part VIII-Threshold Criteria'!G270</f>
        <v>0</v>
      </c>
      <c r="H1428" s="457" t="s">
        <v>1777</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860"/>
      <c r="O1428" s="1860"/>
      <c r="P1428" s="1860"/>
      <c r="Q1428" s="1860"/>
      <c r="S1428" s="2098"/>
      <c r="U1428" s="2061"/>
    </row>
    <row r="1429" spans="1:22">
      <c r="B1429" s="2010" t="s">
        <v>3644</v>
      </c>
      <c r="D1429" s="2010"/>
      <c r="E1429" s="2010"/>
      <c r="F1429" s="2010"/>
      <c r="G1429" s="2010"/>
      <c r="H1429" s="2009"/>
      <c r="I1429" s="1314"/>
      <c r="J1429" s="1314"/>
      <c r="K1429" s="1314"/>
      <c r="L1429" s="1958"/>
      <c r="M1429" s="1958"/>
      <c r="N1429" s="1958"/>
      <c r="O1429" s="1958"/>
      <c r="P1429" s="1958"/>
      <c r="Q1429" s="1958"/>
    </row>
    <row r="1430" spans="1:22" ht="20.399999999999999">
      <c r="A1430" s="2064" t="str">
        <f>'Part VIII-Threshold Criteria'!A272</f>
        <v>Not applicable</v>
      </c>
      <c r="B1430" s="2064"/>
      <c r="C1430" s="2064"/>
      <c r="D1430" s="2064"/>
      <c r="E1430" s="2064"/>
      <c r="F1430" s="2064"/>
      <c r="G1430" s="2064"/>
      <c r="H1430" s="2064"/>
      <c r="I1430" s="2064"/>
      <c r="J1430" s="2064"/>
      <c r="K1430" s="2064"/>
      <c r="L1430" s="2064"/>
      <c r="M1430" s="2064"/>
      <c r="N1430" s="2064"/>
      <c r="O1430" s="2064"/>
      <c r="P1430" s="2064"/>
      <c r="Q1430" s="2064"/>
      <c r="R1430" s="2065" t="s">
        <v>1239</v>
      </c>
      <c r="S1430" s="2065"/>
      <c r="U1430" s="1957"/>
      <c r="V1430" s="1957"/>
    </row>
    <row r="1431" spans="1:22">
      <c r="B1431" s="2066" t="s">
        <v>1841</v>
      </c>
      <c r="C1431" s="2067"/>
      <c r="D1431" s="2068"/>
      <c r="E1431" s="2068"/>
      <c r="F1431" s="2068"/>
      <c r="G1431" s="2068"/>
      <c r="H1431" s="2068"/>
      <c r="I1431" s="2068"/>
      <c r="J1431" s="2068"/>
      <c r="K1431" s="2068"/>
      <c r="L1431" s="2068"/>
      <c r="M1431" s="2068"/>
      <c r="N1431" s="2068"/>
      <c r="O1431" s="2068"/>
      <c r="P1431" s="2068"/>
      <c r="Q1431" s="2068"/>
    </row>
    <row r="1432" spans="1:22">
      <c r="A1432" s="2064">
        <f>'Part VIII-Threshold Criteria'!A274</f>
        <v>0</v>
      </c>
      <c r="B1432" s="2064"/>
      <c r="C1432" s="2064"/>
      <c r="D1432" s="2064"/>
      <c r="E1432" s="2064"/>
      <c r="F1432" s="2064"/>
      <c r="G1432" s="2064"/>
      <c r="H1432" s="2064"/>
      <c r="I1432" s="2064"/>
      <c r="J1432" s="2064"/>
      <c r="K1432" s="2064"/>
      <c r="L1432" s="2064"/>
      <c r="M1432" s="2064"/>
      <c r="N1432" s="2064"/>
      <c r="O1432" s="2064"/>
      <c r="P1432" s="2064"/>
      <c r="Q1432" s="2064"/>
    </row>
    <row r="1433" spans="1:22">
      <c r="A1433" s="1958"/>
      <c r="B1433" s="1314"/>
      <c r="C1433" s="2068"/>
      <c r="D1433" s="2068"/>
      <c r="E1433" s="2068"/>
      <c r="F1433" s="2068"/>
      <c r="G1433" s="2068"/>
      <c r="H1433" s="2068"/>
      <c r="I1433" s="2068"/>
      <c r="J1433" s="2068"/>
      <c r="K1433" s="2068"/>
      <c r="L1433" s="2068"/>
      <c r="M1433" s="2068"/>
      <c r="Q1433" s="1958"/>
    </row>
    <row r="1434" spans="1:22">
      <c r="A1434" s="1311" t="s">
        <v>2223</v>
      </c>
      <c r="B1434" s="1311" t="s">
        <v>2626</v>
      </c>
      <c r="C1434" s="1311"/>
      <c r="D1434" s="457"/>
      <c r="E1434" s="457"/>
      <c r="F1434" s="457"/>
      <c r="G1434" s="457"/>
      <c r="H1434" s="2064"/>
      <c r="I1434" s="2064"/>
      <c r="J1434" s="2064"/>
      <c r="K1434" s="2064"/>
      <c r="L1434" s="2064"/>
      <c r="M1434" s="2064"/>
      <c r="N1434" s="1860"/>
      <c r="O1434" s="2064" t="s">
        <v>1842</v>
      </c>
      <c r="P1434" s="1957"/>
      <c r="Q1434" s="1957"/>
    </row>
    <row r="1435" spans="1:22" ht="12.75" customHeight="1">
      <c r="A1435" s="2095" t="s">
        <v>1957</v>
      </c>
      <c r="B1435" s="2064" t="s">
        <v>4629</v>
      </c>
      <c r="C1435" s="2064"/>
      <c r="D1435" s="2064"/>
      <c r="E1435" s="2064"/>
      <c r="F1435" s="2064"/>
      <c r="G1435" s="2064"/>
      <c r="H1435" s="2064"/>
      <c r="I1435" s="2064"/>
      <c r="J1435" s="2064"/>
      <c r="K1435" s="2064"/>
      <c r="L1435" s="2064"/>
      <c r="M1435" s="2064"/>
      <c r="N1435" s="2064"/>
      <c r="O1435" s="2095" t="s">
        <v>1957</v>
      </c>
      <c r="P1435" s="2096" t="str">
        <f>'Part VIII-Threshold Criteria'!P277</f>
        <v>Yes</v>
      </c>
      <c r="Q1435" s="2096"/>
      <c r="R1435" s="2006"/>
      <c r="S1435" s="2006"/>
      <c r="T1435" s="2006"/>
      <c r="U1435" s="2006"/>
      <c r="V1435" s="2006"/>
    </row>
    <row r="1436" spans="1:22">
      <c r="A1436" s="2098"/>
      <c r="B1436" s="457" t="s">
        <v>3647</v>
      </c>
      <c r="D1436" s="457"/>
      <c r="E1436" s="457"/>
      <c r="F1436" s="457"/>
      <c r="G1436" s="457"/>
      <c r="H1436" s="457"/>
      <c r="I1436" s="457"/>
      <c r="J1436" s="457"/>
      <c r="K1436" s="457"/>
      <c r="L1436" s="457"/>
      <c r="M1436" s="457"/>
      <c r="O1436" s="2098"/>
      <c r="P1436" s="457" t="str">
        <f>'Part VIII-Threshold Criteria'!P278</f>
        <v>Yes</v>
      </c>
      <c r="Q1436" s="457"/>
    </row>
    <row r="1437" spans="1:22">
      <c r="A1437" s="2098" t="s">
        <v>1959</v>
      </c>
      <c r="B1437" s="457" t="s">
        <v>3648</v>
      </c>
      <c r="D1437" s="457"/>
      <c r="E1437" s="457"/>
      <c r="F1437" s="457"/>
      <c r="G1437" s="457"/>
      <c r="H1437" s="457"/>
      <c r="I1437" s="457"/>
      <c r="J1437" s="457"/>
      <c r="K1437" s="457"/>
      <c r="L1437" s="457"/>
      <c r="M1437" s="457"/>
      <c r="O1437" s="2098" t="s">
        <v>1959</v>
      </c>
      <c r="P1437" s="1314" t="str">
        <f>'Part VIII-Threshold Criteria'!P279</f>
        <v>Yes</v>
      </c>
      <c r="Q1437" s="1314"/>
    </row>
    <row r="1438" spans="1:22">
      <c r="A1438" s="2098" t="s">
        <v>738</v>
      </c>
      <c r="B1438" s="457" t="s">
        <v>3933</v>
      </c>
      <c r="C1438" s="1860"/>
      <c r="D1438" s="457"/>
      <c r="E1438" s="457"/>
      <c r="F1438" s="457"/>
      <c r="G1438" s="457"/>
      <c r="H1438" s="457"/>
      <c r="I1438" s="457"/>
      <c r="J1438" s="457"/>
      <c r="K1438" s="457"/>
      <c r="L1438" s="457"/>
      <c r="M1438" s="457"/>
      <c r="N1438" s="1860"/>
      <c r="O1438" s="2098" t="s">
        <v>738</v>
      </c>
      <c r="P1438" s="1314" t="str">
        <f>'Part VIII-Threshold Criteria'!P280</f>
        <v>Yes</v>
      </c>
      <c r="Q1438" s="1314"/>
    </row>
    <row r="1439" spans="1:22">
      <c r="A1439" s="2098"/>
      <c r="B1439" s="457" t="s">
        <v>3649</v>
      </c>
      <c r="D1439" s="457"/>
      <c r="E1439" s="457"/>
      <c r="F1439" s="457"/>
      <c r="G1439" s="457"/>
      <c r="H1439" s="457"/>
      <c r="I1439" s="457"/>
      <c r="J1439" s="457"/>
      <c r="K1439" s="457"/>
      <c r="L1439" s="457"/>
      <c r="M1439" s="457"/>
      <c r="O1439" s="2098"/>
      <c r="P1439" s="1314" t="str">
        <f>'Part VIII-Threshold Criteria'!P281</f>
        <v>Yes</v>
      </c>
      <c r="Q1439" s="1314"/>
    </row>
    <row r="1440" spans="1:22" ht="12.75" customHeight="1">
      <c r="A1440" s="2095" t="s">
        <v>2088</v>
      </c>
      <c r="B1440" s="2064" t="s">
        <v>4632</v>
      </c>
      <c r="C1440" s="2064"/>
      <c r="D1440" s="2064"/>
      <c r="E1440" s="2064"/>
      <c r="F1440" s="2064"/>
      <c r="G1440" s="2064"/>
      <c r="H1440" s="2064"/>
      <c r="I1440" s="2064"/>
      <c r="J1440" s="2064"/>
      <c r="K1440" s="2064"/>
      <c r="L1440" s="2064"/>
      <c r="M1440" s="2064"/>
      <c r="N1440" s="2064"/>
      <c r="O1440" s="2098" t="s">
        <v>2088</v>
      </c>
      <c r="P1440" s="2096" t="str">
        <f>'Part VIII-Threshold Criteria'!P282</f>
        <v>Yes</v>
      </c>
      <c r="Q1440" s="2096"/>
    </row>
    <row r="1441" spans="1:22">
      <c r="B1441" s="2010" t="s">
        <v>3644</v>
      </c>
      <c r="D1441" s="2010"/>
      <c r="E1441" s="2010"/>
      <c r="F1441" s="2010"/>
      <c r="G1441" s="2010"/>
      <c r="H1441" s="2009"/>
      <c r="I1441" s="1314"/>
      <c r="J1441" s="1314"/>
      <c r="K1441" s="1314"/>
      <c r="L1441" s="1958"/>
      <c r="M1441" s="1958"/>
      <c r="N1441" s="1958"/>
      <c r="O1441" s="1958"/>
      <c r="P1441" s="1958"/>
      <c r="Q1441" s="1958"/>
    </row>
    <row r="1442" spans="1:22" ht="336.6">
      <c r="A1442" s="2064" t="str">
        <f>'Part VIII-Threshold Criteria'!A284</f>
        <v>The Conceptual Site Development Plan meets all DCA requirements, location and Vicinity maps show geo coordinates and entire municipality, site pictures are in color, numbered, dated and include descriptions.  All site photos are keyed to site map.  The aerial photo is included and dated within 6 months of the application deadline.  See Tab 15.</v>
      </c>
      <c r="B1442" s="2064"/>
      <c r="C1442" s="2064"/>
      <c r="D1442" s="2064"/>
      <c r="E1442" s="2064"/>
      <c r="F1442" s="2064"/>
      <c r="G1442" s="2064"/>
      <c r="H1442" s="2064"/>
      <c r="I1442" s="2064"/>
      <c r="J1442" s="2064"/>
      <c r="K1442" s="2064"/>
      <c r="L1442" s="2064"/>
      <c r="M1442" s="2064"/>
      <c r="N1442" s="2064"/>
      <c r="O1442" s="2064"/>
      <c r="P1442" s="2064"/>
      <c r="Q1442" s="2064"/>
      <c r="R1442" s="2065" t="s">
        <v>1239</v>
      </c>
      <c r="S1442" s="2065"/>
      <c r="U1442" s="1957"/>
      <c r="V1442" s="1957"/>
    </row>
    <row r="1443" spans="1:22">
      <c r="B1443" s="2066" t="s">
        <v>1841</v>
      </c>
      <c r="C1443" s="2067"/>
      <c r="D1443" s="2064"/>
      <c r="E1443" s="2064"/>
      <c r="F1443" s="2064"/>
      <c r="G1443" s="2064"/>
      <c r="H1443" s="2064"/>
      <c r="I1443" s="2064"/>
      <c r="J1443" s="2064"/>
      <c r="K1443" s="2064"/>
      <c r="L1443" s="2064"/>
      <c r="M1443" s="2064"/>
      <c r="N1443" s="2064"/>
      <c r="O1443" s="2068"/>
      <c r="P1443" s="2068"/>
      <c r="Q1443" s="2068"/>
    </row>
    <row r="1444" spans="1:22">
      <c r="A1444" s="2064">
        <f>'Part VIII-Threshold Criteria'!A286</f>
        <v>0</v>
      </c>
      <c r="B1444" s="2064"/>
      <c r="C1444" s="2064"/>
      <c r="D1444" s="2064"/>
      <c r="E1444" s="2064"/>
      <c r="F1444" s="2064"/>
      <c r="G1444" s="2064"/>
      <c r="H1444" s="2064"/>
      <c r="I1444" s="2064"/>
      <c r="J1444" s="2064"/>
      <c r="K1444" s="2064"/>
      <c r="L1444" s="2064"/>
      <c r="M1444" s="2064"/>
      <c r="N1444" s="2064"/>
      <c r="O1444" s="2064"/>
      <c r="P1444" s="2064"/>
      <c r="Q1444" s="2064"/>
    </row>
    <row r="1445" spans="1:22">
      <c r="A1445" s="1860"/>
      <c r="B1445" s="1860"/>
      <c r="C1445" s="1860"/>
      <c r="D1445" s="1860"/>
      <c r="E1445" s="1860"/>
      <c r="F1445" s="1860"/>
      <c r="G1445" s="1860"/>
      <c r="H1445" s="1860"/>
      <c r="I1445" s="1860"/>
      <c r="J1445" s="1860"/>
      <c r="K1445" s="1860"/>
      <c r="L1445" s="1860"/>
      <c r="M1445" s="1860"/>
      <c r="N1445" s="1860"/>
      <c r="O1445" s="1860"/>
      <c r="P1445" s="1860"/>
      <c r="Q1445" s="1860"/>
    </row>
    <row r="1446" spans="1:22">
      <c r="A1446" s="1949" t="s">
        <v>3917</v>
      </c>
      <c r="B1446" s="1949" t="s">
        <v>2627</v>
      </c>
      <c r="C1446" s="1949"/>
      <c r="D1446" s="2068"/>
      <c r="E1446" s="2068"/>
      <c r="F1446" s="2068"/>
      <c r="G1446" s="2068"/>
      <c r="H1446" s="2068"/>
      <c r="I1446" s="2068"/>
      <c r="J1446" s="2068"/>
      <c r="K1446" s="2068"/>
      <c r="L1446" s="2068"/>
      <c r="M1446" s="2068"/>
      <c r="O1446" s="2062" t="s">
        <v>1842</v>
      </c>
      <c r="P1446" s="1957"/>
      <c r="Q1446" s="1957"/>
    </row>
    <row r="1447" spans="1:22" ht="12.75" customHeight="1">
      <c r="A1447" s="2061" t="s">
        <v>1957</v>
      </c>
      <c r="B1447" s="2064" t="s">
        <v>4631</v>
      </c>
      <c r="C1447" s="2064"/>
      <c r="D1447" s="2064"/>
      <c r="E1447" s="2064"/>
      <c r="F1447" s="2064"/>
      <c r="G1447" s="2064"/>
      <c r="H1447" s="2064"/>
      <c r="I1447" s="2064"/>
      <c r="J1447" s="2064"/>
      <c r="K1447" s="2064"/>
      <c r="L1447" s="2064"/>
      <c r="M1447" s="2064"/>
      <c r="N1447" s="2064"/>
      <c r="O1447" s="2061" t="s">
        <v>1957</v>
      </c>
      <c r="P1447" s="2061" t="str">
        <f>'Part VIII-Threshold Criteria'!P289</f>
        <v>Agree</v>
      </c>
      <c r="Q1447" s="2061"/>
      <c r="R1447" s="2006"/>
      <c r="S1447" s="2006"/>
      <c r="T1447" s="2006"/>
      <c r="U1447" s="2006"/>
      <c r="V1447" s="2006"/>
    </row>
    <row r="1448" spans="1:22" ht="12.75" customHeight="1">
      <c r="A1448" s="2095"/>
      <c r="B1448" s="2064" t="s">
        <v>2764</v>
      </c>
      <c r="C1448" s="2064"/>
      <c r="D1448" s="2064"/>
      <c r="E1448" s="2064"/>
      <c r="F1448" s="2064"/>
      <c r="G1448" s="2064"/>
      <c r="H1448" s="2064"/>
      <c r="I1448" s="2064"/>
      <c r="J1448" s="2064"/>
      <c r="K1448" s="2064"/>
      <c r="L1448" s="2064"/>
      <c r="M1448" s="2064"/>
      <c r="N1448" s="2064"/>
      <c r="O1448" s="2095"/>
      <c r="P1448" s="2061" t="str">
        <f>'Part VIII-Threshold Criteria'!P290</f>
        <v>Agree</v>
      </c>
      <c r="Q1448" s="2061"/>
      <c r="R1448" s="2006"/>
      <c r="S1448" s="2006"/>
      <c r="T1448" s="2006"/>
      <c r="U1448" s="2006"/>
      <c r="V1448" s="2006"/>
    </row>
    <row r="1449" spans="1:22">
      <c r="A1449" s="1981" t="s">
        <v>1959</v>
      </c>
      <c r="B1449" s="1957" t="s">
        <v>307</v>
      </c>
      <c r="D1449" s="1311"/>
      <c r="E1449" s="1311"/>
      <c r="J1449" s="2109" t="s">
        <v>4452</v>
      </c>
      <c r="K1449" s="1790" t="str">
        <f>'Part VIII-Threshold Criteria'!K291</f>
        <v>Earth Craft House Multifamily</v>
      </c>
      <c r="L1449" s="1790">
        <f>'Part VIII-Threshold Criteria'!L291</f>
        <v>0</v>
      </c>
      <c r="M1449" s="1790">
        <f>'Part VIII-Threshold Criteria'!M291</f>
        <v>0</v>
      </c>
      <c r="N1449" s="1790">
        <f>'Part VIII-Threshold Criteria'!N291</f>
        <v>0</v>
      </c>
      <c r="O1449" s="2098" t="s">
        <v>1959</v>
      </c>
      <c r="P1449" s="2120" t="str">
        <f>'Part VIII-Threshold Criteria'!P291</f>
        <v>Agree</v>
      </c>
      <c r="Q1449" s="2120"/>
      <c r="R1449" s="2121"/>
      <c r="S1449" s="2011"/>
    </row>
    <row r="1450" spans="1:22">
      <c r="A1450" s="1981"/>
      <c r="B1450" s="1957"/>
      <c r="C1450" s="1860"/>
      <c r="D1450" s="1311"/>
      <c r="E1450" s="1311"/>
      <c r="F1450" s="1860"/>
      <c r="G1450" s="1860"/>
      <c r="H1450" s="1860"/>
      <c r="I1450" s="1860"/>
      <c r="J1450" s="2025" t="s">
        <v>4633</v>
      </c>
      <c r="K1450" s="1790" t="str">
        <f>'Part VIII-Threshold Criteria'!K292</f>
        <v>&lt;&lt; Select a Sustainable Building Certification &gt;&gt;</v>
      </c>
      <c r="L1450" s="1790">
        <f>'Part VIII-Threshold Criteria'!L292</f>
        <v>0</v>
      </c>
      <c r="M1450" s="1790">
        <f>'Part VIII-Threshold Criteria'!M292</f>
        <v>0</v>
      </c>
      <c r="N1450" s="1790">
        <f>'Part VIII-Threshold Criteria'!N292</f>
        <v>0</v>
      </c>
      <c r="O1450" s="2098"/>
      <c r="P1450" s="2098"/>
      <c r="Q1450" s="2098"/>
      <c r="R1450" s="2098"/>
      <c r="S1450" s="2011"/>
    </row>
    <row r="1451" spans="1:22" ht="14.4">
      <c r="A1451" s="1311"/>
      <c r="B1451" s="1997" t="s">
        <v>3644</v>
      </c>
      <c r="C1451" s="1311"/>
      <c r="D1451" s="1957"/>
      <c r="E1451" s="1957"/>
      <c r="F1451" s="1957"/>
      <c r="G1451" s="1957"/>
      <c r="H1451" s="2122"/>
      <c r="I1451" s="2122"/>
      <c r="J1451" s="2122"/>
      <c r="K1451" s="457"/>
      <c r="L1451" s="2122"/>
      <c r="M1451" s="1311"/>
      <c r="N1451" s="1311"/>
      <c r="O1451" s="2028"/>
      <c r="P1451" s="1955"/>
      <c r="Q1451" s="2122"/>
      <c r="R1451" s="2122"/>
      <c r="S1451" s="2122"/>
      <c r="T1451" s="2122"/>
      <c r="U1451" s="2122"/>
      <c r="V1451" s="2122"/>
    </row>
    <row r="1452" spans="1:22" ht="326.39999999999998">
      <c r="A1452" s="2064" t="str">
        <f>'Part VIII-Threshold Criteria'!A294</f>
        <v xml:space="preserve">The applicant agreees to comply with DCA's building sustainability standards. A draft Earth Craft House Multifamily worksheet has been completed and included in Tab 16.  A project must achieve at least 100 points to be receive the Southface Earth Craft House Multifamily designation. The applicant has included a preliminary woksheet with 131 points identified. </v>
      </c>
      <c r="B1452" s="2064"/>
      <c r="C1452" s="2064"/>
      <c r="D1452" s="2064"/>
      <c r="E1452" s="2064"/>
      <c r="F1452" s="2064"/>
      <c r="G1452" s="2064"/>
      <c r="H1452" s="2064"/>
      <c r="I1452" s="2064"/>
      <c r="J1452" s="2064"/>
      <c r="K1452" s="2064"/>
      <c r="L1452" s="2064"/>
      <c r="M1452" s="2064"/>
      <c r="N1452" s="2064"/>
      <c r="O1452" s="2064"/>
      <c r="P1452" s="2064"/>
      <c r="Q1452" s="2064"/>
      <c r="R1452" s="2065" t="s">
        <v>1239</v>
      </c>
      <c r="S1452" s="1315"/>
      <c r="T1452" s="1315"/>
      <c r="U1452" s="1315"/>
      <c r="V1452" s="1315"/>
    </row>
    <row r="1453" spans="1:22" ht="14.4">
      <c r="B1453" s="2066" t="s">
        <v>1841</v>
      </c>
      <c r="C1453" s="2067"/>
      <c r="D1453" s="2068"/>
      <c r="E1453" s="2068"/>
      <c r="F1453" s="2068"/>
      <c r="G1453" s="2068"/>
      <c r="H1453" s="2068"/>
      <c r="I1453" s="2068"/>
      <c r="J1453" s="2068"/>
      <c r="K1453" s="2064"/>
      <c r="L1453" s="2064"/>
      <c r="M1453" s="2064"/>
      <c r="N1453" s="2064"/>
      <c r="O1453" s="2068"/>
      <c r="P1453" s="2068"/>
      <c r="Q1453" s="2068"/>
      <c r="S1453" s="1315"/>
      <c r="T1453" s="1315"/>
      <c r="U1453" s="1315"/>
      <c r="V1453" s="1315"/>
    </row>
    <row r="1454" spans="1:22" ht="14.4">
      <c r="A1454" s="2064">
        <f>'Part VIII-Threshold Criteria'!A296</f>
        <v>0</v>
      </c>
      <c r="B1454" s="2064"/>
      <c r="C1454" s="2064"/>
      <c r="D1454" s="2064"/>
      <c r="E1454" s="2064"/>
      <c r="F1454" s="2064"/>
      <c r="G1454" s="2064"/>
      <c r="H1454" s="2064"/>
      <c r="I1454" s="2064"/>
      <c r="J1454" s="2064"/>
      <c r="K1454" s="2064"/>
      <c r="L1454" s="2064"/>
      <c r="M1454" s="2064"/>
      <c r="N1454" s="2064"/>
      <c r="O1454" s="2064"/>
      <c r="P1454" s="2064"/>
      <c r="Q1454" s="2064"/>
      <c r="S1454" s="1315"/>
      <c r="T1454" s="1315"/>
      <c r="U1454" s="1315"/>
      <c r="V1454" s="1315"/>
    </row>
    <row r="1455" spans="1:22" ht="14.4">
      <c r="A1455" s="1311"/>
      <c r="B1455" s="2123"/>
      <c r="C1455" s="2123"/>
      <c r="D1455" s="457"/>
      <c r="E1455" s="457"/>
      <c r="F1455" s="1311"/>
      <c r="G1455" s="1311"/>
      <c r="H1455" s="1311"/>
      <c r="I1455" s="1311"/>
      <c r="J1455" s="457"/>
      <c r="K1455" s="457"/>
      <c r="L1455" s="457"/>
      <c r="M1455" s="457"/>
      <c r="N1455" s="1311"/>
      <c r="O1455" s="1860"/>
      <c r="P1455" s="1990"/>
      <c r="Q1455" s="2123"/>
      <c r="R1455" s="1315"/>
      <c r="S1455" s="1315"/>
      <c r="T1455" s="1315"/>
      <c r="U1455" s="1315"/>
      <c r="V1455" s="1315"/>
    </row>
    <row r="1456" spans="1:22">
      <c r="A1456" s="1949" t="s">
        <v>3918</v>
      </c>
      <c r="B1456" s="1949" t="s">
        <v>2628</v>
      </c>
      <c r="C1456" s="2111"/>
      <c r="D1456" s="2068"/>
      <c r="E1456" s="2068"/>
      <c r="F1456" s="2068"/>
      <c r="G1456" s="2068"/>
      <c r="H1456" s="2068"/>
      <c r="I1456" s="2068"/>
      <c r="J1456" s="2068"/>
      <c r="K1456" s="2068"/>
      <c r="L1456" s="2068"/>
      <c r="M1456" s="2068"/>
      <c r="O1456" s="2062" t="s">
        <v>1842</v>
      </c>
      <c r="P1456" s="1957"/>
      <c r="Q1456" s="1957"/>
    </row>
    <row r="1457" spans="1:22">
      <c r="A1457" s="1311" t="s">
        <v>1957</v>
      </c>
      <c r="B1457" s="1311" t="s">
        <v>5061</v>
      </c>
      <c r="C1457" s="1860"/>
      <c r="D1457" s="1860"/>
      <c r="E1457" s="1860"/>
      <c r="F1457" s="1860"/>
      <c r="G1457" s="1860"/>
      <c r="H1457" s="1860"/>
      <c r="I1457" s="1860"/>
      <c r="J1457" s="1860"/>
      <c r="K1457" s="1860"/>
      <c r="L1457" s="1860"/>
      <c r="M1457" s="1860"/>
      <c r="N1457" s="1860"/>
      <c r="O1457" s="1860"/>
      <c r="P1457" s="1860"/>
      <c r="Q1457" s="1860"/>
    </row>
    <row r="1458" spans="1:22" ht="12.75" customHeight="1">
      <c r="A1458" s="2095"/>
      <c r="B1458" s="2100" t="s">
        <v>1716</v>
      </c>
      <c r="C1458" s="2064" t="s">
        <v>3771</v>
      </c>
      <c r="D1458" s="2064"/>
      <c r="E1458" s="2064"/>
      <c r="F1458" s="2064"/>
      <c r="G1458" s="2064"/>
      <c r="H1458" s="2064"/>
      <c r="I1458" s="2064"/>
      <c r="J1458" s="2064"/>
      <c r="K1458" s="2064"/>
      <c r="L1458" s="2064"/>
      <c r="M1458" s="2064"/>
      <c r="N1458" s="2064"/>
      <c r="O1458" s="2095" t="s">
        <v>2684</v>
      </c>
      <c r="P1458" s="2096" t="str">
        <f>'Part VIII-Threshold Criteria'!P300</f>
        <v>Yes</v>
      </c>
      <c r="Q1458" s="2096"/>
    </row>
    <row r="1459" spans="1:22" ht="12.75" customHeight="1">
      <c r="A1459" s="2095"/>
      <c r="B1459" s="2100" t="s">
        <v>1717</v>
      </c>
      <c r="C1459" s="2064" t="s">
        <v>3772</v>
      </c>
      <c r="D1459" s="2064"/>
      <c r="E1459" s="2064"/>
      <c r="F1459" s="2064"/>
      <c r="G1459" s="2064"/>
      <c r="H1459" s="2064"/>
      <c r="I1459" s="2064"/>
      <c r="J1459" s="2064"/>
      <c r="K1459" s="2064"/>
      <c r="L1459" s="2064"/>
      <c r="M1459" s="2064"/>
      <c r="N1459" s="2064"/>
      <c r="O1459" s="2095" t="s">
        <v>1717</v>
      </c>
      <c r="P1459" s="2061" t="str">
        <f>'Part VIII-Threshold Criteria'!P301</f>
        <v>Yes</v>
      </c>
      <c r="Q1459" s="2061"/>
      <c r="R1459" s="2006"/>
      <c r="S1459" s="2006"/>
      <c r="T1459" s="2006"/>
      <c r="U1459" s="2006"/>
      <c r="V1459" s="2006"/>
    </row>
    <row r="1460" spans="1:22" ht="12.75" customHeight="1">
      <c r="A1460" s="2095"/>
      <c r="B1460" s="2100" t="s">
        <v>1718</v>
      </c>
      <c r="C1460" s="2064" t="s">
        <v>3770</v>
      </c>
      <c r="D1460" s="2064"/>
      <c r="E1460" s="2064"/>
      <c r="F1460" s="2064"/>
      <c r="G1460" s="2064"/>
      <c r="H1460" s="2064"/>
      <c r="I1460" s="2064"/>
      <c r="J1460" s="2064"/>
      <c r="K1460" s="2064"/>
      <c r="L1460" s="2064"/>
      <c r="M1460" s="2064"/>
      <c r="N1460" s="2064"/>
      <c r="O1460" s="2095" t="s">
        <v>1718</v>
      </c>
      <c r="P1460" s="2096">
        <f>'Part VIII-Threshold Criteria'!P302</f>
        <v>0</v>
      </c>
      <c r="Q1460" s="2096"/>
      <c r="R1460" s="2006"/>
      <c r="S1460" s="2006"/>
      <c r="T1460" s="2006"/>
      <c r="U1460" s="2006"/>
      <c r="V1460" s="2006"/>
    </row>
    <row r="1461" spans="1:22">
      <c r="A1461" s="1988" t="s">
        <v>1959</v>
      </c>
      <c r="B1461" s="1949" t="s">
        <v>3744</v>
      </c>
      <c r="C1461" s="1311"/>
      <c r="D1461" s="2031"/>
      <c r="E1461" s="2031"/>
      <c r="F1461" s="2031"/>
      <c r="G1461" s="2031"/>
      <c r="H1461" s="2031"/>
      <c r="I1461" s="2031"/>
      <c r="J1461" s="2031"/>
      <c r="K1461" s="2031"/>
      <c r="L1461" s="2031"/>
      <c r="M1461" s="2031"/>
      <c r="N1461" s="2031"/>
      <c r="O1461" s="2098"/>
      <c r="P1461" s="2098"/>
      <c r="Q1461" s="2098"/>
      <c r="R1461" s="1311"/>
      <c r="S1461" s="1311"/>
      <c r="T1461" s="1311"/>
      <c r="U1461" s="1311"/>
      <c r="V1461" s="1311"/>
    </row>
    <row r="1462" spans="1:22" ht="12.75" customHeight="1">
      <c r="A1462" s="1988"/>
      <c r="B1462" s="2100" t="s">
        <v>1716</v>
      </c>
      <c r="C1462" s="2064" t="s">
        <v>4781</v>
      </c>
      <c r="D1462" s="2064"/>
      <c r="E1462" s="2064"/>
      <c r="F1462" s="2064"/>
      <c r="G1462" s="2064"/>
      <c r="H1462" s="2064"/>
      <c r="I1462" s="2061"/>
      <c r="J1462" s="2071" t="s">
        <v>3680</v>
      </c>
      <c r="K1462" s="2025"/>
      <c r="L1462" s="2025"/>
      <c r="M1462" s="2124" t="s">
        <v>3652</v>
      </c>
      <c r="N1462" s="2124"/>
      <c r="O1462" s="1311"/>
      <c r="P1462" s="1311"/>
      <c r="Q1462" s="1311"/>
      <c r="R1462" s="1311"/>
      <c r="S1462" s="1311"/>
      <c r="T1462" s="1311"/>
      <c r="U1462" s="1311"/>
      <c r="V1462" s="1311"/>
    </row>
    <row r="1463" spans="1:22" ht="13.8">
      <c r="A1463" s="1783"/>
      <c r="B1463" s="1781"/>
      <c r="C1463" s="2064"/>
      <c r="D1463" s="2064"/>
      <c r="E1463" s="2064"/>
      <c r="F1463" s="2064"/>
      <c r="G1463" s="2064"/>
      <c r="H1463" s="2064"/>
      <c r="I1463" s="1778"/>
      <c r="J1463" s="2025"/>
      <c r="K1463" s="2025"/>
      <c r="L1463" s="2025"/>
      <c r="M1463" s="457" t="s">
        <v>3653</v>
      </c>
      <c r="N1463" s="457" t="s">
        <v>3679</v>
      </c>
      <c r="O1463" s="1778"/>
      <c r="P1463" s="1799"/>
      <c r="Q1463" s="1778"/>
      <c r="R1463" s="1778"/>
      <c r="S1463" s="1778"/>
      <c r="T1463" s="1778"/>
      <c r="U1463" s="1778"/>
      <c r="V1463" s="1778"/>
    </row>
    <row r="1464" spans="1:22" ht="13.8">
      <c r="A1464" s="1783"/>
      <c r="B1464" s="1781"/>
      <c r="C1464" s="2064"/>
      <c r="D1464" s="2064"/>
      <c r="E1464" s="2064"/>
      <c r="F1464" s="2064"/>
      <c r="G1464" s="2064"/>
      <c r="H1464" s="2064"/>
      <c r="I1464" s="457" t="s">
        <v>3935</v>
      </c>
      <c r="J1464" s="1778"/>
      <c r="K1464" s="2125">
        <f>'Part VIII-Threshold Criteria'!K306</f>
        <v>5</v>
      </c>
      <c r="L1464" s="1781" t="str">
        <f>IF(K1464&lt;M1464,"Check!!!","")</f>
        <v/>
      </c>
      <c r="M1464" s="2126">
        <f>ROUNDUP('Part VI-Revenues &amp; Expenses'!$O$67*'Part VIII-Threshold Criteria'!N1464,0)</f>
        <v>0</v>
      </c>
      <c r="N1464" s="2127">
        <f>'DCA Underwriting Assumptions'!$Q$139</f>
        <v>0.05</v>
      </c>
      <c r="O1464" s="2098" t="s">
        <v>3544</v>
      </c>
      <c r="P1464" s="1314" t="str">
        <f>'Part VIII-Threshold Criteria'!P306</f>
        <v>Yes</v>
      </c>
      <c r="Q1464" s="1314"/>
      <c r="R1464" s="1778"/>
      <c r="S1464" s="1778"/>
      <c r="T1464" s="1778"/>
      <c r="U1464" s="1778"/>
      <c r="V1464" s="457"/>
    </row>
    <row r="1465" spans="1:22" ht="12.75" customHeight="1">
      <c r="A1465" s="2095"/>
      <c r="B1465" s="2100"/>
      <c r="C1465" s="2064" t="s">
        <v>4782</v>
      </c>
      <c r="D1465" s="2064"/>
      <c r="E1465" s="2064"/>
      <c r="F1465" s="2064"/>
      <c r="G1465" s="2064"/>
      <c r="H1465" s="2064"/>
      <c r="I1465" s="2110" t="s">
        <v>3936</v>
      </c>
      <c r="J1465" s="1778"/>
      <c r="K1465" s="2128">
        <f>'Part VIII-Threshold Criteria'!K307</f>
        <v>2</v>
      </c>
      <c r="L1465" s="1778" t="str">
        <f>IF(K1465&lt;M1465,"Check!!!","")</f>
        <v/>
      </c>
      <c r="M1465" s="2129">
        <f>ROUNDUP(K1464*'Part VIII-Threshold Criteria'!N1465,0)</f>
        <v>0</v>
      </c>
      <c r="N1465" s="2130">
        <f>'DCA Underwriting Assumptions'!$Q$140</f>
        <v>0.4</v>
      </c>
      <c r="O1465" s="2098" t="s">
        <v>2090</v>
      </c>
      <c r="P1465" s="2061" t="str">
        <f>'Part VIII-Threshold Criteria'!P307</f>
        <v>Yes</v>
      </c>
      <c r="Q1465" s="2061"/>
      <c r="R1465" s="1311"/>
      <c r="S1465" s="1311"/>
      <c r="T1465" s="2061"/>
      <c r="U1465" s="2061"/>
      <c r="V1465" s="2061"/>
    </row>
    <row r="1466" spans="1:22" ht="13.8">
      <c r="A1466" s="1783"/>
      <c r="B1466" s="1781"/>
      <c r="C1466" s="2064"/>
      <c r="D1466" s="2064"/>
      <c r="E1466" s="2064"/>
      <c r="F1466" s="2064"/>
      <c r="G1466" s="2064"/>
      <c r="H1466" s="2064"/>
      <c r="I1466" s="1778"/>
      <c r="J1466" s="1778"/>
      <c r="K1466" s="1778"/>
      <c r="L1466" s="1778"/>
      <c r="M1466" s="1778"/>
      <c r="N1466" s="1778"/>
      <c r="O1466" s="2009"/>
      <c r="P1466" s="2061">
        <f>'Part VIII-Threshold Criteria'!P308</f>
        <v>0</v>
      </c>
      <c r="Q1466" s="2061"/>
      <c r="R1466" s="1778"/>
      <c r="S1466" s="1778"/>
      <c r="T1466" s="1778"/>
      <c r="U1466" s="1778"/>
      <c r="V1466" s="457"/>
    </row>
    <row r="1467" spans="1:22" ht="12.75" customHeight="1">
      <c r="A1467" s="2095"/>
      <c r="B1467" s="2100" t="s">
        <v>1717</v>
      </c>
      <c r="C1467" s="2064" t="s">
        <v>4783</v>
      </c>
      <c r="D1467" s="2064"/>
      <c r="E1467" s="2064"/>
      <c r="F1467" s="2064"/>
      <c r="G1467" s="2064"/>
      <c r="H1467" s="2064"/>
      <c r="I1467" s="457" t="s">
        <v>3937</v>
      </c>
      <c r="J1467" s="1778"/>
      <c r="K1467" s="2125">
        <f>'Part VIII-Threshold Criteria'!K309</f>
        <v>2</v>
      </c>
      <c r="L1467" s="1781" t="str">
        <f>IF(K1467&lt;M1467,"Check!!!","")</f>
        <v/>
      </c>
      <c r="M1467" s="2126">
        <f>ROUNDUP('Part VI-Revenues &amp; Expenses'!$O$67*'Part VIII-Threshold Criteria'!N1467,0)</f>
        <v>0</v>
      </c>
      <c r="N1467" s="2127">
        <f>'DCA Underwriting Assumptions'!$Q$141</f>
        <v>0.02</v>
      </c>
      <c r="O1467" s="2098" t="s">
        <v>1717</v>
      </c>
      <c r="P1467" s="1314" t="str">
        <f>'Part VIII-Threshold Criteria'!P309</f>
        <v>Yes</v>
      </c>
      <c r="Q1467" s="1314"/>
      <c r="R1467" s="1311"/>
      <c r="S1467" s="1311"/>
      <c r="T1467" s="2061"/>
      <c r="U1467" s="2061"/>
      <c r="V1467" s="2061"/>
    </row>
    <row r="1468" spans="1:22" ht="13.8">
      <c r="A1468" s="1783"/>
      <c r="B1468" s="1778"/>
      <c r="C1468" s="2064"/>
      <c r="D1468" s="2064"/>
      <c r="E1468" s="2064"/>
      <c r="F1468" s="2064"/>
      <c r="G1468" s="2064"/>
      <c r="H1468" s="2064"/>
      <c r="I1468" s="1778"/>
      <c r="J1468" s="457"/>
      <c r="K1468" s="457"/>
      <c r="L1468" s="2009"/>
      <c r="M1468" s="1314"/>
      <c r="N1468" s="1778"/>
      <c r="O1468" s="457"/>
      <c r="P1468" s="457"/>
      <c r="Q1468" s="457"/>
      <c r="R1468" s="1778"/>
      <c r="S1468" s="1778"/>
      <c r="T1468" s="457"/>
      <c r="U1468" s="2110"/>
      <c r="V1468" s="457"/>
    </row>
    <row r="1469" spans="1:22" ht="13.8">
      <c r="A1469" s="1783"/>
      <c r="B1469" s="1778"/>
      <c r="C1469" s="2064"/>
      <c r="D1469" s="2064"/>
      <c r="E1469" s="2064"/>
      <c r="F1469" s="2064"/>
      <c r="G1469" s="2064"/>
      <c r="H1469" s="2064"/>
      <c r="I1469" s="1778"/>
      <c r="J1469" s="1778"/>
      <c r="K1469" s="1778"/>
      <c r="L1469" s="1778"/>
      <c r="M1469" s="1778"/>
      <c r="N1469" s="1778"/>
      <c r="O1469" s="2009"/>
      <c r="P1469" s="457"/>
      <c r="Q1469" s="1778"/>
      <c r="R1469" s="1778"/>
      <c r="S1469" s="1778"/>
      <c r="T1469" s="1778"/>
      <c r="U1469" s="1778"/>
      <c r="V1469" s="457"/>
    </row>
    <row r="1470" spans="1:22" ht="13.8">
      <c r="A1470" s="1988" t="s">
        <v>738</v>
      </c>
      <c r="B1470" s="1949" t="s">
        <v>3745</v>
      </c>
      <c r="C1470" s="1778"/>
      <c r="D1470" s="2064"/>
      <c r="E1470" s="2064"/>
      <c r="F1470" s="2064"/>
      <c r="G1470" s="2064"/>
      <c r="H1470" s="2064"/>
      <c r="I1470" s="1778"/>
      <c r="J1470" s="1778"/>
      <c r="K1470" s="1778"/>
      <c r="L1470" s="1778"/>
      <c r="M1470" s="1778"/>
      <c r="N1470" s="1778"/>
      <c r="O1470" s="2009"/>
      <c r="P1470" s="2098"/>
      <c r="Q1470" s="1778"/>
      <c r="R1470" s="1778"/>
      <c r="S1470" s="1778"/>
      <c r="T1470" s="1778"/>
      <c r="U1470" s="1778"/>
      <c r="V1470" s="457"/>
    </row>
    <row r="1471" spans="1:22" ht="12.75" customHeight="1">
      <c r="A1471" s="1311"/>
      <c r="B1471" s="2064" t="s">
        <v>3546</v>
      </c>
      <c r="C1471" s="2064"/>
      <c r="D1471" s="2064"/>
      <c r="E1471" s="2064"/>
      <c r="F1471" s="2064"/>
      <c r="G1471" s="2064"/>
      <c r="H1471" s="2064"/>
      <c r="I1471" s="2064"/>
      <c r="J1471" s="2064"/>
      <c r="K1471" s="2064"/>
      <c r="L1471" s="2064"/>
      <c r="M1471" s="2064"/>
      <c r="N1471" s="2064"/>
      <c r="O1471" s="2095" t="s">
        <v>738</v>
      </c>
      <c r="P1471" s="2096" t="str">
        <f>'Part VIII-Threshold Criteria'!P313</f>
        <v>Yes</v>
      </c>
      <c r="Q1471" s="2096"/>
      <c r="R1471" s="1311"/>
      <c r="S1471" s="1311"/>
      <c r="T1471" s="1311"/>
      <c r="U1471" s="1311"/>
      <c r="V1471" s="1311"/>
    </row>
    <row r="1472" spans="1:22">
      <c r="A1472" s="1311"/>
      <c r="B1472" s="2061" t="s">
        <v>3547</v>
      </c>
      <c r="C1472" s="1311"/>
      <c r="D1472" s="2061"/>
      <c r="E1472" s="2061"/>
      <c r="F1472" s="2061"/>
      <c r="G1472" s="2061"/>
      <c r="H1472" s="2061"/>
      <c r="I1472" s="2061" t="s">
        <v>3651</v>
      </c>
      <c r="J1472" s="2061"/>
      <c r="K1472" s="2061"/>
      <c r="L1472" s="2061" t="str">
        <f>'Part VIII-Threshold Criteria'!L314</f>
        <v>Diligent Consulting Services</v>
      </c>
      <c r="M1472" s="2061">
        <f>'Part VIII-Threshold Criteria'!M314</f>
        <v>0</v>
      </c>
      <c r="N1472" s="2061">
        <f>'Part VIII-Threshold Criteria'!N314</f>
        <v>0</v>
      </c>
      <c r="O1472" s="2061">
        <f>'Part VIII-Threshold Criteria'!O314</f>
        <v>0</v>
      </c>
      <c r="P1472" s="2061"/>
      <c r="Q1472" s="2061"/>
      <c r="R1472" s="2061"/>
      <c r="S1472" s="1311"/>
      <c r="T1472" s="1311"/>
      <c r="U1472" s="1311"/>
      <c r="V1472" s="1311"/>
    </row>
    <row r="1473" spans="1:22" ht="12.75" customHeight="1">
      <c r="A1473" s="2006"/>
      <c r="B1473" s="2100" t="s">
        <v>1716</v>
      </c>
      <c r="C1473" s="2064" t="s">
        <v>3545</v>
      </c>
      <c r="D1473" s="2064"/>
      <c r="E1473" s="2064"/>
      <c r="F1473" s="2064"/>
      <c r="G1473" s="2064"/>
      <c r="H1473" s="2064"/>
      <c r="I1473" s="2064"/>
      <c r="J1473" s="2064"/>
      <c r="K1473" s="2064"/>
      <c r="L1473" s="2064"/>
      <c r="M1473" s="2064"/>
      <c r="N1473" s="2064"/>
      <c r="O1473" s="2095" t="s">
        <v>3550</v>
      </c>
      <c r="P1473" s="2096" t="str">
        <f>'Part VIII-Threshold Criteria'!P315</f>
        <v>Yes</v>
      </c>
      <c r="Q1473" s="2096"/>
      <c r="R1473" s="2006"/>
      <c r="S1473" s="2006"/>
      <c r="T1473" s="2006"/>
      <c r="U1473" s="2006"/>
      <c r="V1473" s="2006"/>
    </row>
    <row r="1474" spans="1:22" ht="12.75" customHeight="1">
      <c r="A1474" s="2006"/>
      <c r="B1474" s="2061" t="s">
        <v>1717</v>
      </c>
      <c r="C1474" s="2064" t="s">
        <v>4577</v>
      </c>
      <c r="D1474" s="2064"/>
      <c r="E1474" s="2064"/>
      <c r="F1474" s="2064"/>
      <c r="G1474" s="2064"/>
      <c r="H1474" s="2064"/>
      <c r="I1474" s="2064"/>
      <c r="J1474" s="2064"/>
      <c r="K1474" s="2064"/>
      <c r="L1474" s="2064"/>
      <c r="M1474" s="2064"/>
      <c r="N1474" s="2064"/>
      <c r="O1474" s="2095" t="s">
        <v>3551</v>
      </c>
      <c r="P1474" s="2096" t="str">
        <f>'Part VIII-Threshold Criteria'!P316</f>
        <v>Yes</v>
      </c>
      <c r="Q1474" s="2096"/>
      <c r="R1474" s="2006"/>
      <c r="S1474" s="2006"/>
      <c r="T1474" s="2006"/>
      <c r="U1474" s="2006"/>
      <c r="V1474" s="2006"/>
    </row>
    <row r="1475" spans="1:22" ht="12.75" customHeight="1">
      <c r="A1475" s="2006"/>
      <c r="B1475" s="2100" t="s">
        <v>1718</v>
      </c>
      <c r="C1475" s="2064" t="s">
        <v>3548</v>
      </c>
      <c r="D1475" s="2064"/>
      <c r="E1475" s="2064"/>
      <c r="F1475" s="2064"/>
      <c r="G1475" s="2064"/>
      <c r="H1475" s="2064"/>
      <c r="I1475" s="2064"/>
      <c r="J1475" s="2064"/>
      <c r="K1475" s="2064"/>
      <c r="L1475" s="2064"/>
      <c r="M1475" s="2064"/>
      <c r="N1475" s="2064"/>
      <c r="O1475" s="2061" t="s">
        <v>3552</v>
      </c>
      <c r="P1475" s="2096" t="str">
        <f>'Part VIII-Threshold Criteria'!P317</f>
        <v>Yes</v>
      </c>
      <c r="Q1475" s="2096"/>
      <c r="R1475" s="2006"/>
      <c r="S1475" s="2006"/>
      <c r="T1475" s="2006"/>
      <c r="U1475" s="2006"/>
      <c r="V1475" s="2006"/>
    </row>
    <row r="1476" spans="1:22" ht="12.75" customHeight="1">
      <c r="A1476" s="2006"/>
      <c r="B1476" s="2100" t="s">
        <v>2336</v>
      </c>
      <c r="C1476" s="2064" t="s">
        <v>3549</v>
      </c>
      <c r="D1476" s="2064"/>
      <c r="E1476" s="2064"/>
      <c r="F1476" s="2064"/>
      <c r="G1476" s="2064"/>
      <c r="H1476" s="2064"/>
      <c r="I1476" s="2064"/>
      <c r="J1476" s="2064"/>
      <c r="K1476" s="2064"/>
      <c r="L1476" s="2064"/>
      <c r="M1476" s="2064"/>
      <c r="N1476" s="2064"/>
      <c r="O1476" s="2095" t="s">
        <v>3553</v>
      </c>
      <c r="P1476" s="2096" t="str">
        <f>'Part VIII-Threshold Criteria'!P318</f>
        <v>Yes</v>
      </c>
      <c r="Q1476" s="2096"/>
      <c r="R1476" s="2006"/>
      <c r="S1476" s="2006"/>
      <c r="T1476" s="2006"/>
      <c r="U1476" s="2006"/>
      <c r="V1476" s="2006"/>
    </row>
    <row r="1477" spans="1:22">
      <c r="B1477" s="2010" t="s">
        <v>3644</v>
      </c>
      <c r="C1477" s="1860"/>
      <c r="D1477" s="1997"/>
      <c r="E1477" s="1997"/>
      <c r="F1477" s="1997"/>
      <c r="G1477" s="1997"/>
      <c r="H1477" s="457"/>
      <c r="I1477" s="457"/>
      <c r="J1477" s="457"/>
      <c r="K1477" s="457"/>
      <c r="L1477" s="1957"/>
      <c r="M1477" s="1957"/>
      <c r="N1477" s="1957"/>
      <c r="O1477" s="1958"/>
      <c r="P1477" s="1958"/>
      <c r="Q1477" s="1958"/>
    </row>
    <row r="1478" spans="1:22" ht="91.8">
      <c r="A1478" s="2064" t="str">
        <f>'Part VIII-Threshold Criteria'!A320</f>
        <v>Applicant agrees to comply with all required DCA accessibility regulations and standards.</v>
      </c>
      <c r="B1478" s="2064"/>
      <c r="C1478" s="2064"/>
      <c r="D1478" s="2064"/>
      <c r="E1478" s="2064"/>
      <c r="F1478" s="2064"/>
      <c r="G1478" s="2064"/>
      <c r="H1478" s="2064"/>
      <c r="I1478" s="2064"/>
      <c r="J1478" s="2064"/>
      <c r="K1478" s="2064"/>
      <c r="L1478" s="2064"/>
      <c r="M1478" s="2064"/>
      <c r="N1478" s="2064"/>
      <c r="O1478" s="2064"/>
      <c r="P1478" s="2064"/>
      <c r="Q1478" s="2064"/>
      <c r="R1478" s="2065" t="s">
        <v>1239</v>
      </c>
      <c r="S1478" s="2065"/>
      <c r="U1478" s="1957"/>
      <c r="V1478" s="1957"/>
    </row>
    <row r="1479" spans="1:22">
      <c r="B1479" s="2066" t="s">
        <v>1841</v>
      </c>
      <c r="C1479" s="2067"/>
      <c r="D1479" s="2064"/>
      <c r="E1479" s="2064"/>
      <c r="F1479" s="2064"/>
      <c r="G1479" s="2064"/>
      <c r="H1479" s="2064"/>
      <c r="I1479" s="2064"/>
      <c r="J1479" s="2064"/>
      <c r="K1479" s="2064"/>
      <c r="L1479" s="2064"/>
      <c r="M1479" s="2064"/>
      <c r="N1479" s="2064"/>
      <c r="O1479" s="2068"/>
      <c r="P1479" s="2068"/>
      <c r="Q1479" s="2068"/>
    </row>
    <row r="1480" spans="1:22">
      <c r="A1480" s="2064">
        <f>'Part VIII-Threshold Criteria'!A322</f>
        <v>0</v>
      </c>
      <c r="B1480" s="2064"/>
      <c r="C1480" s="2064"/>
      <c r="D1480" s="2064"/>
      <c r="E1480" s="2064"/>
      <c r="F1480" s="2064"/>
      <c r="G1480" s="2064"/>
      <c r="H1480" s="2064"/>
      <c r="I1480" s="2064"/>
      <c r="J1480" s="2064"/>
      <c r="K1480" s="2064"/>
      <c r="L1480" s="2064"/>
      <c r="M1480" s="2064"/>
      <c r="N1480" s="2064"/>
      <c r="O1480" s="2064"/>
      <c r="P1480" s="2064"/>
      <c r="Q1480" s="2064"/>
    </row>
    <row r="1481" spans="1:22">
      <c r="A1481" s="1311" t="s">
        <v>3916</v>
      </c>
      <c r="B1481" s="1311" t="s">
        <v>2629</v>
      </c>
      <c r="C1481" s="1311"/>
      <c r="D1481" s="1311"/>
      <c r="E1481" s="1311"/>
      <c r="F1481" s="1311"/>
      <c r="G1481" s="1311"/>
      <c r="H1481" s="2064"/>
      <c r="I1481" s="2064"/>
      <c r="J1481" s="2064"/>
      <c r="K1481" s="2064"/>
      <c r="L1481" s="2064"/>
      <c r="M1481" s="2064"/>
      <c r="N1481" s="1860"/>
      <c r="O1481" s="2064" t="s">
        <v>1842</v>
      </c>
      <c r="P1481" s="1957"/>
      <c r="Q1481" s="1957"/>
    </row>
    <row r="1482" spans="1:22">
      <c r="B1482" s="1051" t="s">
        <v>2224</v>
      </c>
      <c r="P1482" s="1314" t="str">
        <f>'Part VIII-Threshold Criteria'!P324</f>
        <v>Yes</v>
      </c>
      <c r="Q1482" s="1314"/>
    </row>
    <row r="1483" spans="1:22">
      <c r="A1483" s="1860"/>
      <c r="B1483" s="2061" t="s">
        <v>2183</v>
      </c>
      <c r="C1483" s="2061"/>
      <c r="D1483" s="2061"/>
      <c r="E1483" s="2061"/>
      <c r="F1483" s="2061"/>
      <c r="G1483" s="2061"/>
      <c r="H1483" s="2061"/>
      <c r="I1483" s="2061"/>
      <c r="J1483" s="2061"/>
      <c r="K1483" s="2061"/>
      <c r="L1483" s="2061"/>
      <c r="M1483" s="1860"/>
      <c r="N1483" s="1860"/>
      <c r="O1483" s="1860"/>
      <c r="P1483" s="457" t="str">
        <f>'Part VIII-Threshold Criteria'!P325</f>
        <v>Yes</v>
      </c>
      <c r="Q1483" s="457"/>
    </row>
    <row r="1484" spans="1:22">
      <c r="A1484" s="2095" t="s">
        <v>1957</v>
      </c>
      <c r="B1484" s="2009" t="s">
        <v>4784</v>
      </c>
      <c r="D1484" s="2009"/>
      <c r="E1484" s="2009"/>
      <c r="F1484" s="2009"/>
      <c r="G1484" s="2009"/>
      <c r="H1484" s="2009"/>
      <c r="I1484" s="2009"/>
      <c r="J1484" s="2009"/>
      <c r="K1484" s="2009"/>
      <c r="L1484" s="2009"/>
      <c r="M1484" s="2009"/>
      <c r="N1484" s="2095"/>
      <c r="P1484" s="1860"/>
      <c r="Q1484" s="1860"/>
    </row>
    <row r="1485" spans="1:22" ht="12.75" customHeight="1">
      <c r="B1485" s="2064" t="s">
        <v>2826</v>
      </c>
      <c r="C1485" s="2064"/>
      <c r="D1485" s="2064"/>
      <c r="E1485" s="2064"/>
      <c r="F1485" s="2064"/>
      <c r="G1485" s="2064"/>
      <c r="H1485" s="2064"/>
      <c r="I1485" s="2064"/>
      <c r="J1485" s="2064"/>
      <c r="K1485" s="2064"/>
      <c r="L1485" s="2064"/>
      <c r="M1485" s="2064"/>
      <c r="N1485" s="2064"/>
      <c r="O1485" s="2095" t="s">
        <v>1957</v>
      </c>
      <c r="P1485" s="2096">
        <f>'Part VIII-Threshold Criteria'!P327</f>
        <v>0</v>
      </c>
      <c r="Q1485" s="2096"/>
    </row>
    <row r="1486" spans="1:22">
      <c r="A1486" s="2095" t="s">
        <v>1959</v>
      </c>
      <c r="B1486" s="457" t="s">
        <v>456</v>
      </c>
      <c r="D1486" s="457"/>
      <c r="E1486" s="457"/>
      <c r="F1486" s="457"/>
      <c r="G1486" s="457"/>
      <c r="H1486" s="457"/>
      <c r="I1486" s="457"/>
      <c r="J1486" s="457"/>
      <c r="K1486" s="457"/>
      <c r="L1486" s="457"/>
      <c r="M1486" s="457"/>
      <c r="O1486" s="2095" t="s">
        <v>1959</v>
      </c>
      <c r="P1486" s="1958"/>
      <c r="Q1486" s="1958"/>
    </row>
    <row r="1487" spans="1:22" ht="12.75" customHeight="1">
      <c r="B1487" s="2100" t="s">
        <v>1716</v>
      </c>
      <c r="C1487" s="2061" t="s">
        <v>1118</v>
      </c>
      <c r="E1487" s="2006"/>
      <c r="F1487" s="2006"/>
      <c r="G1487" s="1852"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777">
        <f>'Part VIII-Threshold Criteria'!H329</f>
        <v>0</v>
      </c>
      <c r="I1487" s="1777">
        <f>'Part VIII-Threshold Criteria'!I329</f>
        <v>0</v>
      </c>
      <c r="J1487" s="1777">
        <f>'Part VIII-Threshold Criteria'!J329</f>
        <v>0</v>
      </c>
      <c r="K1487" s="1777">
        <f>'Part VIII-Threshold Criteria'!K329</f>
        <v>0</v>
      </c>
      <c r="L1487" s="1777">
        <f>'Part VIII-Threshold Criteria'!L329</f>
        <v>0</v>
      </c>
      <c r="M1487" s="1777">
        <f>'Part VIII-Threshold Criteria'!M329</f>
        <v>0</v>
      </c>
      <c r="N1487" s="1777">
        <f>'Part VIII-Threshold Criteria'!N329</f>
        <v>0</v>
      </c>
      <c r="O1487" s="2095" t="s">
        <v>1716</v>
      </c>
      <c r="P1487" s="2096" t="str">
        <f>'Part VIII-Threshold Criteria'!P329</f>
        <v>Yes</v>
      </c>
      <c r="Q1487" s="2096"/>
    </row>
    <row r="1488" spans="1:22" ht="12.75" customHeight="1">
      <c r="B1488" s="2061" t="s">
        <v>1717</v>
      </c>
      <c r="C1488" s="2064" t="s">
        <v>1119</v>
      </c>
      <c r="D1488" s="2064"/>
      <c r="E1488" s="2064"/>
      <c r="F1488" s="2064"/>
      <c r="G1488" s="1852" t="str">
        <f>'Part VIII-Threshold Criteria'!G330</f>
        <v>Upgraded roofing shingles, or roofing materials  (warranty 30 years or greater)</v>
      </c>
      <c r="H1488" s="1777">
        <f>'Part VIII-Threshold Criteria'!H330</f>
        <v>0</v>
      </c>
      <c r="I1488" s="1777">
        <f>'Part VIII-Threshold Criteria'!I330</f>
        <v>0</v>
      </c>
      <c r="J1488" s="1777">
        <f>'Part VIII-Threshold Criteria'!J330</f>
        <v>0</v>
      </c>
      <c r="K1488" s="1777">
        <f>'Part VIII-Threshold Criteria'!K330</f>
        <v>0</v>
      </c>
      <c r="L1488" s="1777">
        <f>'Part VIII-Threshold Criteria'!L330</f>
        <v>0</v>
      </c>
      <c r="M1488" s="1777">
        <f>'Part VIII-Threshold Criteria'!M330</f>
        <v>0</v>
      </c>
      <c r="N1488" s="1777">
        <f>'Part VIII-Threshold Criteria'!N330</f>
        <v>0</v>
      </c>
      <c r="O1488" s="2095" t="s">
        <v>1717</v>
      </c>
      <c r="P1488" s="2096" t="str">
        <f>'Part VIII-Threshold Criteria'!P330</f>
        <v>Yes</v>
      </c>
      <c r="Q1488" s="2096"/>
    </row>
    <row r="1489" spans="1:22">
      <c r="A1489" s="1958"/>
      <c r="B1489" s="1963"/>
      <c r="C1489" s="1958"/>
      <c r="D1489" s="1958"/>
      <c r="E1489" s="1958"/>
      <c r="F1489" s="1958"/>
      <c r="G1489" s="1958"/>
      <c r="H1489" s="1958"/>
      <c r="I1489" s="1958"/>
      <c r="J1489" s="1958"/>
      <c r="K1489" s="1958"/>
      <c r="L1489" s="1958"/>
      <c r="M1489" s="1958"/>
      <c r="N1489" s="1958"/>
      <c r="O1489" s="1958"/>
      <c r="P1489" s="1958"/>
      <c r="Q1489" s="1958"/>
      <c r="R1489" s="1958"/>
      <c r="S1489" s="1958"/>
      <c r="T1489" s="1958"/>
      <c r="U1489" s="1958"/>
      <c r="V1489" s="1958"/>
    </row>
    <row r="1490" spans="1:22" ht="12.75" customHeight="1">
      <c r="A1490" s="2095" t="s">
        <v>738</v>
      </c>
      <c r="B1490" s="2064" t="s">
        <v>4785</v>
      </c>
      <c r="C1490" s="2064"/>
      <c r="D1490" s="2064"/>
      <c r="E1490" s="2064"/>
      <c r="F1490" s="2064"/>
      <c r="G1490" s="2064"/>
      <c r="H1490" s="2064"/>
      <c r="I1490" s="2064"/>
      <c r="J1490" s="2064"/>
      <c r="K1490" s="2064"/>
      <c r="L1490" s="2064"/>
      <c r="M1490" s="2064"/>
      <c r="N1490" s="2064"/>
      <c r="O1490" s="2109" t="s">
        <v>738</v>
      </c>
      <c r="P1490" s="1958"/>
      <c r="Q1490" s="1958"/>
      <c r="R1490" s="2006"/>
      <c r="S1490" s="2006"/>
      <c r="T1490" s="2006"/>
      <c r="U1490" s="2006"/>
      <c r="V1490" s="2006"/>
    </row>
    <row r="1491" spans="1:22">
      <c r="A1491" s="2101"/>
      <c r="B1491" s="2100" t="s">
        <v>1716</v>
      </c>
      <c r="C1491" s="2064">
        <f>'Part VIII-Threshold Criteria'!C333</f>
        <v>0</v>
      </c>
      <c r="D1491" s="2064">
        <f>'Part VIII-Threshold Criteria'!D333</f>
        <v>0</v>
      </c>
      <c r="E1491" s="2064">
        <f>'Part VIII-Threshold Criteria'!E333</f>
        <v>0</v>
      </c>
      <c r="F1491" s="2064">
        <f>'Part VIII-Threshold Criteria'!F333</f>
        <v>0</v>
      </c>
      <c r="G1491" s="2064">
        <f>'Part VIII-Threshold Criteria'!G333</f>
        <v>0</v>
      </c>
      <c r="H1491" s="2064">
        <f>'Part VIII-Threshold Criteria'!H333</f>
        <v>0</v>
      </c>
      <c r="I1491" s="2064">
        <f>'Part VIII-Threshold Criteria'!I333</f>
        <v>0</v>
      </c>
      <c r="J1491" s="2064">
        <f>'Part VIII-Threshold Criteria'!J333</f>
        <v>0</v>
      </c>
      <c r="K1491" s="2064">
        <f>'Part VIII-Threshold Criteria'!K333</f>
        <v>0</v>
      </c>
      <c r="L1491" s="2064">
        <f>'Part VIII-Threshold Criteria'!L333</f>
        <v>0</v>
      </c>
      <c r="M1491" s="2064">
        <f>'Part VIII-Threshold Criteria'!M333</f>
        <v>0</v>
      </c>
      <c r="N1491" s="2064">
        <f>'Part VIII-Threshold Criteria'!N333</f>
        <v>0</v>
      </c>
      <c r="O1491" s="2095" t="s">
        <v>1716</v>
      </c>
      <c r="P1491" s="2096">
        <f>'Part VIII-Threshold Criteria'!P333</f>
        <v>0</v>
      </c>
      <c r="Q1491" s="2096"/>
      <c r="R1491" s="2006"/>
      <c r="S1491" s="2006"/>
      <c r="T1491" s="2006"/>
      <c r="U1491" s="2006"/>
      <c r="V1491" s="2006"/>
    </row>
    <row r="1492" spans="1:22">
      <c r="A1492" s="2101"/>
      <c r="B1492" s="2100" t="s">
        <v>1717</v>
      </c>
      <c r="C1492" s="2064">
        <f>'Part VIII-Threshold Criteria'!C334</f>
        <v>0</v>
      </c>
      <c r="D1492" s="2064">
        <f>'Part VIII-Threshold Criteria'!D334</f>
        <v>0</v>
      </c>
      <c r="E1492" s="2064">
        <f>'Part VIII-Threshold Criteria'!E334</f>
        <v>0</v>
      </c>
      <c r="F1492" s="2064">
        <f>'Part VIII-Threshold Criteria'!F334</f>
        <v>0</v>
      </c>
      <c r="G1492" s="2064">
        <f>'Part VIII-Threshold Criteria'!G334</f>
        <v>0</v>
      </c>
      <c r="H1492" s="2064">
        <f>'Part VIII-Threshold Criteria'!H334</f>
        <v>0</v>
      </c>
      <c r="I1492" s="2064">
        <f>'Part VIII-Threshold Criteria'!I334</f>
        <v>0</v>
      </c>
      <c r="J1492" s="2064">
        <f>'Part VIII-Threshold Criteria'!J334</f>
        <v>0</v>
      </c>
      <c r="K1492" s="2064">
        <f>'Part VIII-Threshold Criteria'!K334</f>
        <v>0</v>
      </c>
      <c r="L1492" s="2064">
        <f>'Part VIII-Threshold Criteria'!L334</f>
        <v>0</v>
      </c>
      <c r="M1492" s="2064">
        <f>'Part VIII-Threshold Criteria'!M334</f>
        <v>0</v>
      </c>
      <c r="N1492" s="2064">
        <f>'Part VIII-Threshold Criteria'!N334</f>
        <v>0</v>
      </c>
      <c r="O1492" s="2095" t="s">
        <v>1717</v>
      </c>
      <c r="P1492" s="2096">
        <f>'Part VIII-Threshold Criteria'!P334</f>
        <v>0</v>
      </c>
      <c r="Q1492" s="2096"/>
      <c r="R1492" s="2006"/>
      <c r="S1492" s="2006"/>
      <c r="T1492" s="2006"/>
      <c r="U1492" s="2006"/>
      <c r="V1492" s="2006"/>
    </row>
    <row r="1493" spans="1:22">
      <c r="A1493" s="1958"/>
      <c r="B1493" s="1957"/>
      <c r="C1493" s="1957"/>
      <c r="D1493" s="1957"/>
      <c r="E1493" s="1957"/>
      <c r="F1493" s="1957"/>
      <c r="G1493" s="1957"/>
      <c r="H1493" s="1957"/>
      <c r="I1493" s="1957"/>
      <c r="J1493" s="1957"/>
      <c r="K1493" s="1957"/>
      <c r="L1493" s="1957"/>
      <c r="M1493" s="1957"/>
      <c r="N1493" s="1957"/>
      <c r="O1493" s="1958"/>
      <c r="P1493" s="1958"/>
      <c r="Q1493" s="1958"/>
      <c r="R1493" s="1958"/>
      <c r="S1493" s="1958"/>
      <c r="T1493" s="1958"/>
      <c r="U1493" s="1958"/>
      <c r="V1493" s="1958"/>
    </row>
    <row r="1494" spans="1:22">
      <c r="B1494" s="2010" t="s">
        <v>3644</v>
      </c>
      <c r="C1494" s="1860"/>
      <c r="D1494" s="1997"/>
      <c r="E1494" s="1997"/>
      <c r="F1494" s="1997"/>
      <c r="G1494" s="1997"/>
      <c r="H1494" s="457"/>
      <c r="I1494" s="457"/>
      <c r="J1494" s="457"/>
      <c r="K1494" s="457"/>
      <c r="L1494" s="1957"/>
      <c r="M1494" s="1957"/>
      <c r="N1494" s="1957"/>
      <c r="O1494" s="1958"/>
      <c r="P1494" s="1958"/>
      <c r="Q1494" s="1958"/>
    </row>
    <row r="1495" spans="1:22" ht="91.8">
      <c r="A1495" s="2064" t="str">
        <f>'Part VIII-Threshold Criteria'!A337</f>
        <v xml:space="preserve">The applicant will comply with all applicable DCA 2019 architectural guidelines and standards. </v>
      </c>
      <c r="B1495" s="2064"/>
      <c r="C1495" s="2064"/>
      <c r="D1495" s="2064"/>
      <c r="E1495" s="2064"/>
      <c r="F1495" s="2064"/>
      <c r="G1495" s="2064"/>
      <c r="H1495" s="2064"/>
      <c r="I1495" s="2064"/>
      <c r="J1495" s="2064"/>
      <c r="K1495" s="2064"/>
      <c r="L1495" s="2064"/>
      <c r="M1495" s="2064"/>
      <c r="N1495" s="2064"/>
      <c r="O1495" s="2064"/>
      <c r="P1495" s="2064"/>
      <c r="Q1495" s="2064"/>
      <c r="R1495" s="2131" t="s">
        <v>1239</v>
      </c>
      <c r="S1495" s="1311"/>
      <c r="U1495" s="1957"/>
      <c r="V1495" s="1957"/>
    </row>
    <row r="1496" spans="1:22">
      <c r="B1496" s="2066" t="s">
        <v>1841</v>
      </c>
      <c r="C1496" s="2067"/>
      <c r="D1496" s="2068"/>
      <c r="E1496" s="2068"/>
      <c r="F1496" s="2068"/>
      <c r="G1496" s="2068"/>
      <c r="H1496" s="2068"/>
      <c r="I1496" s="2068"/>
      <c r="J1496" s="2068"/>
      <c r="K1496" s="2068"/>
      <c r="L1496" s="2068"/>
      <c r="M1496" s="2068"/>
      <c r="N1496" s="2068"/>
      <c r="O1496" s="2068"/>
      <c r="P1496" s="2068"/>
      <c r="Q1496" s="2068"/>
    </row>
    <row r="1497" spans="1:22">
      <c r="A1497" s="2064">
        <f>'Part VIII-Threshold Criteria'!A339</f>
        <v>0</v>
      </c>
      <c r="B1497" s="2064"/>
      <c r="C1497" s="2064"/>
      <c r="D1497" s="2064"/>
      <c r="E1497" s="2064"/>
      <c r="F1497" s="2064"/>
      <c r="G1497" s="2064"/>
      <c r="H1497" s="2064"/>
      <c r="I1497" s="2064"/>
      <c r="J1497" s="2064"/>
      <c r="K1497" s="2064"/>
      <c r="L1497" s="2064"/>
      <c r="M1497" s="2064"/>
      <c r="N1497" s="2064"/>
      <c r="O1497" s="2064"/>
      <c r="P1497" s="2064"/>
      <c r="Q1497" s="2064"/>
    </row>
    <row r="1498" spans="1:22">
      <c r="A1498" s="1311" t="s">
        <v>3919</v>
      </c>
      <c r="B1498" s="1311" t="s">
        <v>3947</v>
      </c>
      <c r="C1498" s="1311"/>
      <c r="D1498" s="2064"/>
      <c r="E1498" s="2064"/>
      <c r="F1498" s="2064"/>
      <c r="G1498" s="2064"/>
      <c r="H1498" s="2064"/>
      <c r="I1498" s="1860"/>
      <c r="J1498" s="1860"/>
      <c r="K1498" s="1860"/>
      <c r="L1498" s="1860"/>
      <c r="M1498" s="1860"/>
      <c r="N1498" s="1860"/>
      <c r="O1498" s="2064" t="s">
        <v>1842</v>
      </c>
      <c r="P1498" s="1957"/>
      <c r="Q1498" s="1957"/>
    </row>
    <row r="1499" spans="1:22">
      <c r="A1499" s="2098" t="s">
        <v>1957</v>
      </c>
      <c r="B1499" s="1051" t="s">
        <v>4663</v>
      </c>
      <c r="O1499" s="2095" t="s">
        <v>1957</v>
      </c>
      <c r="P1499" s="1314" t="str">
        <f>'Part VIII-Threshold Criteria'!P341</f>
        <v>Yes</v>
      </c>
      <c r="Q1499" s="1314"/>
    </row>
    <row r="1500" spans="1:22">
      <c r="A1500" s="2061" t="s">
        <v>1959</v>
      </c>
      <c r="B1500" s="2025" t="s">
        <v>3906</v>
      </c>
      <c r="C1500" s="1860"/>
      <c r="D1500" s="1860"/>
      <c r="E1500" s="1860"/>
      <c r="F1500" s="1860"/>
      <c r="G1500" s="1860"/>
      <c r="H1500" s="1860"/>
      <c r="I1500" s="1860"/>
      <c r="J1500" s="1860"/>
      <c r="K1500" s="1860"/>
      <c r="L1500" s="1860"/>
      <c r="M1500" s="1860"/>
      <c r="N1500" s="1860"/>
      <c r="O1500" s="2061" t="s">
        <v>1959</v>
      </c>
      <c r="P1500" s="457" t="str">
        <f>'Part VIII-Threshold Criteria'!P342</f>
        <v>Yes</v>
      </c>
      <c r="Q1500" s="457"/>
    </row>
    <row r="1501" spans="1:22">
      <c r="A1501" s="2095" t="s">
        <v>738</v>
      </c>
      <c r="B1501" s="1051" t="s">
        <v>2321</v>
      </c>
      <c r="O1501" s="2095" t="s">
        <v>738</v>
      </c>
      <c r="P1501" s="457" t="str">
        <f>'Part VIII-Threshold Criteria'!P343</f>
        <v>No</v>
      </c>
      <c r="Q1501" s="457"/>
    </row>
    <row r="1502" spans="1:22">
      <c r="A1502" s="2098" t="s">
        <v>2088</v>
      </c>
      <c r="B1502" s="1051" t="s">
        <v>3715</v>
      </c>
      <c r="O1502" s="2098" t="s">
        <v>2088</v>
      </c>
      <c r="P1502" s="1314" t="str">
        <f>'Part VIII-Threshold Criteria'!P344</f>
        <v>No</v>
      </c>
      <c r="Q1502" s="1314"/>
    </row>
    <row r="1503" spans="1:22">
      <c r="A1503" s="2095" t="s">
        <v>1714</v>
      </c>
      <c r="B1503" s="1051" t="s">
        <v>2827</v>
      </c>
      <c r="N1503" s="2095" t="s">
        <v>1714</v>
      </c>
      <c r="O1503" s="2007" t="str">
        <f>'Part VIII-Threshold Criteria'!O345</f>
        <v>Certifying Principal</v>
      </c>
      <c r="P1503" s="2007">
        <f>'Part VIII-Threshold Criteria'!P345</f>
        <v>0</v>
      </c>
      <c r="Q1503" s="2007">
        <f>'Part VIII-Threshold Criteria'!Q345</f>
        <v>0</v>
      </c>
    </row>
    <row r="1504" spans="1:22">
      <c r="A1504" s="2095" t="s">
        <v>1715</v>
      </c>
      <c r="B1504" s="1051" t="s">
        <v>2322</v>
      </c>
      <c r="N1504" s="2095" t="s">
        <v>1715</v>
      </c>
      <c r="O1504" s="2007" t="s">
        <v>2828</v>
      </c>
      <c r="P1504" s="2007"/>
      <c r="Q1504" s="2007"/>
    </row>
    <row r="1505" spans="1:22">
      <c r="B1505" s="2010" t="s">
        <v>3644</v>
      </c>
      <c r="D1505" s="2010"/>
      <c r="E1505" s="2010"/>
      <c r="F1505" s="2010"/>
      <c r="G1505" s="2010"/>
      <c r="H1505" s="2009"/>
      <c r="I1505" s="1314"/>
      <c r="J1505" s="1314"/>
      <c r="K1505" s="1314"/>
      <c r="L1505" s="1958"/>
      <c r="M1505" s="1958"/>
      <c r="N1505" s="1958"/>
      <c r="O1505" s="1958"/>
      <c r="P1505" s="1958"/>
      <c r="Q1505" s="1958"/>
    </row>
    <row r="1506" spans="1:22" ht="409.6">
      <c r="A1506" s="2064" t="str">
        <f>'Part VIII-Threshold Criteria'!A348</f>
        <v xml:space="preserve">The executed 2019 qualification determination has been included in Tab 19. The letter identifid the project team as, "Qualified".  There have been no changes to the project or project team since the preapplication submission. The Certificate of Existence for the owner entity has been included in Tab 19 as well. Additionally, FCS Urban Ministries, a member of the managing GP, merged with Charis Community Housing, Inc in 2015. Merger documentation has been included in Tab 43 - Other.  This has no bearing on the experience determination nor is their a deviation from the preapplication; however, there may be references to Charis Community Housing, Inc and it's important to note, this is essentially the same as referencing FCS. </v>
      </c>
      <c r="B1506" s="2064"/>
      <c r="C1506" s="2064"/>
      <c r="D1506" s="2064"/>
      <c r="E1506" s="2064"/>
      <c r="F1506" s="2064"/>
      <c r="G1506" s="2064"/>
      <c r="H1506" s="2064"/>
      <c r="I1506" s="2064"/>
      <c r="J1506" s="2064"/>
      <c r="K1506" s="2064"/>
      <c r="L1506" s="2064"/>
      <c r="M1506" s="2064"/>
      <c r="N1506" s="2064"/>
      <c r="O1506" s="2064"/>
      <c r="P1506" s="2064"/>
      <c r="Q1506" s="2064"/>
      <c r="R1506" s="2065" t="s">
        <v>1239</v>
      </c>
      <c r="S1506" s="2065"/>
      <c r="U1506" s="1957"/>
      <c r="V1506" s="1957"/>
    </row>
    <row r="1507" spans="1:22">
      <c r="B1507" s="2066" t="s">
        <v>1841</v>
      </c>
      <c r="C1507" s="2067"/>
      <c r="D1507" s="2068"/>
      <c r="E1507" s="2068"/>
      <c r="F1507" s="2068"/>
      <c r="G1507" s="2068"/>
      <c r="H1507" s="2068"/>
      <c r="I1507" s="2068"/>
      <c r="J1507" s="2068"/>
      <c r="K1507" s="2068"/>
      <c r="L1507" s="2068"/>
      <c r="M1507" s="2068"/>
      <c r="N1507" s="2068"/>
      <c r="O1507" s="2064"/>
      <c r="P1507" s="2064"/>
      <c r="Q1507" s="2064"/>
    </row>
    <row r="1508" spans="1:22">
      <c r="A1508" s="2064">
        <f>'Part VIII-Threshold Criteria'!A350</f>
        <v>0</v>
      </c>
      <c r="B1508" s="2064"/>
      <c r="C1508" s="2064"/>
      <c r="D1508" s="2064"/>
      <c r="E1508" s="2064"/>
      <c r="F1508" s="2064"/>
      <c r="G1508" s="2064"/>
      <c r="H1508" s="2064"/>
      <c r="I1508" s="2064"/>
      <c r="J1508" s="2064"/>
      <c r="K1508" s="2064"/>
      <c r="L1508" s="2064"/>
      <c r="M1508" s="2064"/>
      <c r="N1508" s="2064"/>
      <c r="O1508" s="2064"/>
      <c r="P1508" s="2064"/>
      <c r="Q1508" s="2064"/>
    </row>
    <row r="1509" spans="1:22">
      <c r="A1509" s="1311" t="s">
        <v>3920</v>
      </c>
      <c r="B1509" s="1311" t="s">
        <v>2630</v>
      </c>
      <c r="C1509" s="1311"/>
      <c r="D1509" s="457"/>
      <c r="E1509" s="2064"/>
      <c r="F1509" s="2064"/>
      <c r="G1509" s="2064"/>
      <c r="H1509" s="2064"/>
      <c r="I1509" s="2064"/>
      <c r="J1509" s="2064"/>
      <c r="K1509" s="2064"/>
      <c r="L1509" s="2064"/>
      <c r="M1509" s="2064"/>
      <c r="N1509" s="1860"/>
      <c r="O1509" s="2064" t="s">
        <v>1842</v>
      </c>
      <c r="P1509" s="1957"/>
      <c r="Q1509" s="1957"/>
    </row>
    <row r="1510" spans="1:22">
      <c r="A1510" s="2095" t="s">
        <v>1957</v>
      </c>
      <c r="B1510" s="2061" t="s">
        <v>3557</v>
      </c>
      <c r="D1510" s="2061"/>
      <c r="E1510" s="2061"/>
      <c r="F1510" s="2061"/>
      <c r="G1510" s="2061"/>
      <c r="H1510" s="2061"/>
      <c r="I1510" s="2061"/>
      <c r="J1510" s="2061"/>
      <c r="K1510" s="2061"/>
      <c r="L1510" s="2061"/>
      <c r="M1510" s="2061"/>
      <c r="N1510" s="2061"/>
      <c r="O1510" s="2095" t="s">
        <v>1957</v>
      </c>
      <c r="P1510" s="1314" t="str">
        <f>'Part VIII-Threshold Criteria'!P352</f>
        <v>Yes</v>
      </c>
      <c r="Q1510" s="1314"/>
    </row>
    <row r="1511" spans="1:22">
      <c r="A1511" s="2061" t="s">
        <v>1959</v>
      </c>
      <c r="B1511" s="2061" t="s">
        <v>3722</v>
      </c>
      <c r="C1511" s="1860"/>
      <c r="D1511" s="2061"/>
      <c r="E1511" s="2061"/>
      <c r="F1511" s="2061"/>
      <c r="G1511" s="2061"/>
      <c r="H1511" s="2061"/>
      <c r="I1511" s="2061"/>
      <c r="J1511" s="2061"/>
      <c r="K1511" s="2061"/>
      <c r="L1511" s="2061"/>
      <c r="M1511" s="2061"/>
      <c r="N1511" s="2061"/>
      <c r="O1511" s="2061" t="s">
        <v>1959</v>
      </c>
      <c r="P1511" s="457" t="str">
        <f>'Part VIII-Threshold Criteria'!P353</f>
        <v>No</v>
      </c>
      <c r="Q1511" s="457"/>
    </row>
    <row r="1512" spans="1:22" ht="12.75" customHeight="1">
      <c r="A1512" s="2095" t="s">
        <v>738</v>
      </c>
      <c r="B1512" s="2064" t="s">
        <v>3907</v>
      </c>
      <c r="C1512" s="2064"/>
      <c r="D1512" s="2064"/>
      <c r="E1512" s="2064"/>
      <c r="F1512" s="2064"/>
      <c r="G1512" s="2064"/>
      <c r="H1512" s="2064"/>
      <c r="I1512" s="2064"/>
      <c r="J1512" s="2064"/>
      <c r="K1512" s="2064"/>
      <c r="L1512" s="2064"/>
      <c r="M1512" s="2064"/>
      <c r="N1512" s="2064"/>
      <c r="O1512" s="2095" t="s">
        <v>738</v>
      </c>
      <c r="P1512" s="457" t="str">
        <f>'Part VIII-Threshold Criteria'!P354</f>
        <v>Yes</v>
      </c>
      <c r="Q1512" s="457"/>
    </row>
    <row r="1513" spans="1:22">
      <c r="B1513" s="2010" t="s">
        <v>3644</v>
      </c>
      <c r="D1513" s="2010"/>
      <c r="E1513" s="2010"/>
      <c r="F1513" s="2010"/>
      <c r="G1513" s="2010"/>
      <c r="H1513" s="2009"/>
      <c r="I1513" s="1314"/>
      <c r="J1513" s="1314"/>
      <c r="K1513" s="1314"/>
      <c r="L1513" s="1958"/>
      <c r="M1513" s="1958"/>
      <c r="N1513" s="1958"/>
      <c r="O1513" s="1958"/>
      <c r="P1513" s="1958"/>
      <c r="Q1513" s="1958"/>
    </row>
    <row r="1514" spans="1:22" ht="142.80000000000001">
      <c r="A1514" s="2064" t="str">
        <f>'Part VIII-Threshold Criteria'!A356</f>
        <v xml:space="preserve">All compliance related documentation was submitted at pre-application. There is no additional information required by DCA at this time. </v>
      </c>
      <c r="B1514" s="2064"/>
      <c r="C1514" s="2064"/>
      <c r="D1514" s="2064"/>
      <c r="E1514" s="2064"/>
      <c r="F1514" s="2064"/>
      <c r="G1514" s="2064"/>
      <c r="H1514" s="2064"/>
      <c r="I1514" s="2064"/>
      <c r="J1514" s="2064"/>
      <c r="K1514" s="2064"/>
      <c r="L1514" s="2064"/>
      <c r="M1514" s="2064"/>
      <c r="N1514" s="2064"/>
      <c r="O1514" s="2064"/>
      <c r="P1514" s="2064"/>
      <c r="Q1514" s="2064"/>
      <c r="U1514" s="1957"/>
      <c r="V1514" s="1957"/>
    </row>
    <row r="1515" spans="1:22">
      <c r="B1515" s="2066" t="s">
        <v>1841</v>
      </c>
      <c r="C1515" s="2067"/>
      <c r="D1515" s="2064"/>
      <c r="E1515" s="2064"/>
      <c r="F1515" s="2064"/>
      <c r="G1515" s="2064"/>
      <c r="H1515" s="2064"/>
      <c r="I1515" s="2064"/>
      <c r="J1515" s="2064"/>
      <c r="K1515" s="2064"/>
      <c r="L1515" s="2064"/>
      <c r="M1515" s="2064"/>
      <c r="N1515" s="2064"/>
      <c r="O1515" s="2068"/>
      <c r="P1515" s="2068"/>
      <c r="Q1515" s="2068"/>
    </row>
    <row r="1516" spans="1:22">
      <c r="A1516" s="2064">
        <f>'Part VIII-Threshold Criteria'!A358</f>
        <v>0</v>
      </c>
      <c r="B1516" s="2064"/>
      <c r="C1516" s="2064"/>
      <c r="D1516" s="2064"/>
      <c r="E1516" s="2064"/>
      <c r="F1516" s="2064"/>
      <c r="G1516" s="2064"/>
      <c r="H1516" s="2064"/>
      <c r="I1516" s="2064"/>
      <c r="J1516" s="2064"/>
      <c r="K1516" s="2064"/>
      <c r="L1516" s="2064"/>
      <c r="M1516" s="2064"/>
      <c r="N1516" s="2064"/>
      <c r="O1516" s="2064"/>
      <c r="P1516" s="2064"/>
      <c r="Q1516" s="2064"/>
    </row>
    <row r="1517" spans="1:22">
      <c r="A1517" s="1957"/>
      <c r="B1517" s="457"/>
      <c r="C1517" s="2064"/>
      <c r="D1517" s="2064"/>
      <c r="E1517" s="2064"/>
      <c r="F1517" s="2064"/>
      <c r="G1517" s="2064"/>
      <c r="H1517" s="2064"/>
      <c r="I1517" s="2064"/>
      <c r="J1517" s="2064"/>
      <c r="K1517" s="2064"/>
      <c r="L1517" s="2064"/>
      <c r="M1517" s="2064"/>
      <c r="N1517" s="2064"/>
      <c r="O1517" s="2064"/>
      <c r="P1517" s="2064"/>
      <c r="Q1517" s="1957"/>
    </row>
    <row r="1518" spans="1:22">
      <c r="A1518" s="1949" t="s">
        <v>3923</v>
      </c>
      <c r="B1518" s="1311" t="s">
        <v>3897</v>
      </c>
      <c r="C1518" s="1311"/>
      <c r="D1518" s="1311"/>
      <c r="E1518" s="1311"/>
      <c r="F1518" s="1311"/>
      <c r="G1518" s="1311"/>
      <c r="H1518" s="2068"/>
      <c r="I1518" s="2068"/>
      <c r="J1518" s="2068"/>
      <c r="K1518" s="2068"/>
      <c r="L1518" s="2068"/>
      <c r="M1518" s="2068"/>
      <c r="O1518" s="2062" t="s">
        <v>1842</v>
      </c>
      <c r="P1518" s="1957"/>
      <c r="Q1518" s="1957"/>
    </row>
    <row r="1519" spans="1:22">
      <c r="A1519" s="457" t="s">
        <v>1957</v>
      </c>
      <c r="B1519" s="457" t="s">
        <v>3898</v>
      </c>
      <c r="C1519" s="1860"/>
      <c r="D1519" s="1785"/>
      <c r="E1519" s="1785"/>
      <c r="F1519" s="1785"/>
      <c r="G1519" s="1785"/>
      <c r="H1519" s="457" t="s">
        <v>1957</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2095" t="s">
        <v>1959</v>
      </c>
      <c r="B1520" s="457" t="s">
        <v>3899</v>
      </c>
      <c r="D1520" s="1785"/>
      <c r="E1520" s="1785"/>
      <c r="F1520" s="1785"/>
      <c r="G1520" s="1785"/>
      <c r="H1520" s="2095" t="s">
        <v>1959</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314"/>
    </row>
    <row r="1521" spans="1:22" ht="12.75" customHeight="1">
      <c r="A1521" s="2095" t="s">
        <v>738</v>
      </c>
      <c r="B1521" s="2031" t="s">
        <v>3889</v>
      </c>
      <c r="C1521" s="2031"/>
      <c r="D1521" s="2031"/>
      <c r="E1521" s="2031"/>
      <c r="F1521" s="2031"/>
      <c r="G1521" s="2031"/>
      <c r="H1521" s="2031"/>
      <c r="I1521" s="2031"/>
      <c r="J1521" s="2031"/>
      <c r="K1521" s="2031"/>
      <c r="L1521" s="2031"/>
      <c r="M1521" s="2031"/>
      <c r="N1521" s="2031"/>
      <c r="O1521" s="2095" t="s">
        <v>738</v>
      </c>
      <c r="P1521" s="2061">
        <f>'Part VIII-Threshold Criteria'!P363</f>
        <v>0</v>
      </c>
      <c r="Q1521" s="2061"/>
    </row>
    <row r="1522" spans="1:22" ht="12.75" customHeight="1">
      <c r="A1522" s="2095" t="s">
        <v>2088</v>
      </c>
      <c r="B1522" s="2064" t="s">
        <v>3890</v>
      </c>
      <c r="C1522" s="2064"/>
      <c r="D1522" s="2064"/>
      <c r="E1522" s="2064"/>
      <c r="F1522" s="2064"/>
      <c r="G1522" s="2064"/>
      <c r="H1522" s="2064"/>
      <c r="I1522" s="2064"/>
      <c r="J1522" s="2064"/>
      <c r="K1522" s="2064"/>
      <c r="L1522" s="2064"/>
      <c r="M1522" s="2064"/>
      <c r="N1522" s="2064"/>
      <c r="O1522" s="457" t="s">
        <v>2088</v>
      </c>
      <c r="P1522" s="2061">
        <f>'Part VIII-Threshold Criteria'!P364</f>
        <v>0</v>
      </c>
      <c r="Q1522" s="2096"/>
    </row>
    <row r="1523" spans="1:22">
      <c r="A1523" s="2095" t="s">
        <v>1714</v>
      </c>
      <c r="B1523" s="457" t="s">
        <v>3891</v>
      </c>
      <c r="D1523" s="457"/>
      <c r="E1523" s="457"/>
      <c r="F1523" s="457"/>
      <c r="G1523" s="457"/>
      <c r="H1523" s="457"/>
      <c r="I1523" s="457"/>
      <c r="J1523" s="457"/>
      <c r="K1523" s="457"/>
      <c r="L1523" s="457"/>
      <c r="M1523" s="457"/>
      <c r="N1523" s="1860"/>
      <c r="O1523" s="2061" t="s">
        <v>1714</v>
      </c>
      <c r="P1523" s="457">
        <f>'Part VIII-Threshold Criteria'!P365</f>
        <v>0</v>
      </c>
      <c r="Q1523" s="1314"/>
    </row>
    <row r="1524" spans="1:22" ht="12.75" customHeight="1">
      <c r="A1524" s="2095" t="s">
        <v>1715</v>
      </c>
      <c r="B1524" s="2064" t="s">
        <v>3892</v>
      </c>
      <c r="C1524" s="2064"/>
      <c r="D1524" s="2064"/>
      <c r="E1524" s="2064"/>
      <c r="F1524" s="2064"/>
      <c r="G1524" s="2064"/>
      <c r="H1524" s="2064"/>
      <c r="I1524" s="2064"/>
      <c r="J1524" s="2064"/>
      <c r="K1524" s="2064"/>
      <c r="L1524" s="2064"/>
      <c r="M1524" s="2064"/>
      <c r="N1524" s="2064"/>
      <c r="O1524" s="2095" t="s">
        <v>1715</v>
      </c>
      <c r="P1524" s="2096">
        <f>'Part VIII-Threshold Criteria'!P366</f>
        <v>0</v>
      </c>
      <c r="Q1524" s="2096"/>
      <c r="R1524" s="2006"/>
      <c r="S1524" s="2006"/>
      <c r="T1524" s="2006"/>
      <c r="U1524" s="2006"/>
      <c r="V1524" s="2006"/>
    </row>
    <row r="1525" spans="1:22">
      <c r="A1525" s="2095" t="s">
        <v>1921</v>
      </c>
      <c r="B1525" s="2061" t="s">
        <v>3893</v>
      </c>
      <c r="C1525" s="2006"/>
      <c r="D1525" s="2064"/>
      <c r="E1525" s="2064"/>
      <c r="F1525" s="2064"/>
      <c r="G1525" s="2064"/>
      <c r="H1525" s="2064"/>
      <c r="I1525" s="2064"/>
      <c r="J1525" s="2064"/>
      <c r="K1525" s="2064"/>
      <c r="L1525" s="2064"/>
      <c r="M1525" s="2064"/>
      <c r="N1525" s="2064"/>
      <c r="O1525" s="2095" t="s">
        <v>1921</v>
      </c>
      <c r="P1525" s="2096">
        <f>'Part VIII-Threshold Criteria'!P367</f>
        <v>0</v>
      </c>
      <c r="Q1525" s="2096"/>
      <c r="R1525" s="2006"/>
      <c r="S1525" s="2006"/>
      <c r="T1525" s="2006"/>
      <c r="U1525" s="2006"/>
      <c r="V1525" s="2006"/>
    </row>
    <row r="1526" spans="1:22">
      <c r="A1526" s="2006"/>
      <c r="B1526" s="2006"/>
      <c r="C1526" s="2100" t="s">
        <v>5062</v>
      </c>
      <c r="D1526" s="2006"/>
      <c r="E1526" s="2068"/>
      <c r="F1526" s="2068"/>
      <c r="G1526" s="2068"/>
      <c r="H1526" s="2068"/>
      <c r="I1526" s="2068"/>
      <c r="J1526" s="2068"/>
      <c r="K1526" s="2068"/>
      <c r="L1526" s="2068"/>
      <c r="M1526" s="2068"/>
      <c r="N1526" s="2068"/>
      <c r="O1526" s="2006"/>
      <c r="P1526" s="2096">
        <f>'Part VIII-Threshold Criteria'!P368</f>
        <v>0</v>
      </c>
      <c r="Q1526" s="2096"/>
      <c r="R1526" s="2006"/>
      <c r="S1526" s="2006"/>
      <c r="T1526" s="2006"/>
      <c r="U1526" s="2006"/>
      <c r="V1526" s="2006"/>
    </row>
    <row r="1527" spans="1:22" ht="12.75" customHeight="1">
      <c r="A1527" s="2095" t="s">
        <v>3313</v>
      </c>
      <c r="B1527" s="2064" t="s">
        <v>3894</v>
      </c>
      <c r="C1527" s="2064"/>
      <c r="D1527" s="2064"/>
      <c r="E1527" s="2064"/>
      <c r="F1527" s="2064"/>
      <c r="G1527" s="2064"/>
      <c r="H1527" s="2064"/>
      <c r="I1527" s="2064"/>
      <c r="J1527" s="2064"/>
      <c r="K1527" s="2064"/>
      <c r="L1527" s="2064"/>
      <c r="M1527" s="2064"/>
      <c r="N1527" s="2064"/>
      <c r="O1527" s="2095" t="s">
        <v>3313</v>
      </c>
      <c r="P1527" s="2096">
        <f>'Part VIII-Threshold Criteria'!P369</f>
        <v>0</v>
      </c>
      <c r="Q1527" s="2096"/>
    </row>
    <row r="1528" spans="1:22" ht="12.75" customHeight="1">
      <c r="A1528" s="2095" t="s">
        <v>605</v>
      </c>
      <c r="B1528" s="2064" t="s">
        <v>3895</v>
      </c>
      <c r="C1528" s="2064"/>
      <c r="D1528" s="2064"/>
      <c r="E1528" s="2064"/>
      <c r="F1528" s="2064"/>
      <c r="G1528" s="2064"/>
      <c r="H1528" s="2064"/>
      <c r="I1528" s="2064"/>
      <c r="J1528" s="2064"/>
      <c r="K1528" s="2064"/>
      <c r="L1528" s="2064"/>
      <c r="M1528" s="2064"/>
      <c r="N1528" s="2064"/>
      <c r="O1528" s="2095" t="s">
        <v>605</v>
      </c>
      <c r="P1528" s="2096">
        <f>'Part VIII-Threshold Criteria'!P370</f>
        <v>0</v>
      </c>
      <c r="Q1528" s="2096"/>
    </row>
    <row r="1529" spans="1:22">
      <c r="B1529" s="2010" t="s">
        <v>3644</v>
      </c>
      <c r="D1529" s="2010"/>
      <c r="E1529" s="2010"/>
      <c r="F1529" s="2010"/>
      <c r="G1529" s="2010"/>
      <c r="H1529" s="2009"/>
      <c r="I1529" s="1314"/>
      <c r="J1529" s="1314"/>
      <c r="K1529" s="1314"/>
      <c r="L1529" s="1958"/>
      <c r="M1529" s="1958"/>
      <c r="N1529" s="1958"/>
      <c r="O1529" s="1958"/>
      <c r="P1529" s="1958"/>
      <c r="Q1529" s="1958"/>
    </row>
    <row r="1530" spans="1:22" ht="20.399999999999999">
      <c r="A1530" s="2064" t="str">
        <f>'Part VIII-Threshold Criteria'!A372</f>
        <v>Not applicable</v>
      </c>
      <c r="B1530" s="2064"/>
      <c r="C1530" s="2064"/>
      <c r="D1530" s="2064"/>
      <c r="E1530" s="2064"/>
      <c r="F1530" s="2064"/>
      <c r="G1530" s="2064"/>
      <c r="H1530" s="2064"/>
      <c r="I1530" s="2064"/>
      <c r="J1530" s="2064"/>
      <c r="K1530" s="2064"/>
      <c r="L1530" s="2064"/>
      <c r="M1530" s="2064"/>
      <c r="N1530" s="2064"/>
      <c r="O1530" s="2064"/>
      <c r="P1530" s="2064"/>
      <c r="Q1530" s="2064"/>
      <c r="U1530" s="1957"/>
      <c r="V1530" s="1957"/>
    </row>
    <row r="1531" spans="1:22">
      <c r="B1531" s="2066" t="s">
        <v>1841</v>
      </c>
      <c r="C1531" s="2067"/>
      <c r="D1531" s="2064"/>
      <c r="E1531" s="2064"/>
      <c r="F1531" s="2064"/>
      <c r="G1531" s="2064"/>
      <c r="H1531" s="2064"/>
      <c r="I1531" s="2064"/>
      <c r="J1531" s="2064"/>
      <c r="K1531" s="2064"/>
      <c r="L1531" s="2064"/>
      <c r="M1531" s="2064"/>
      <c r="N1531" s="2064"/>
      <c r="O1531" s="2068"/>
      <c r="P1531" s="2068"/>
      <c r="Q1531" s="2068"/>
    </row>
    <row r="1532" spans="1:22">
      <c r="A1532" s="2064">
        <f>'Part VIII-Threshold Criteria'!A374</f>
        <v>0</v>
      </c>
      <c r="B1532" s="2064"/>
      <c r="C1532" s="2064"/>
      <c r="D1532" s="2064"/>
      <c r="E1532" s="2064"/>
      <c r="F1532" s="2064"/>
      <c r="G1532" s="2064"/>
      <c r="H1532" s="2064"/>
      <c r="I1532" s="2064"/>
      <c r="J1532" s="2064"/>
      <c r="K1532" s="2064"/>
      <c r="L1532" s="2064"/>
      <c r="M1532" s="2064"/>
      <c r="N1532" s="2064"/>
      <c r="O1532" s="2064"/>
      <c r="P1532" s="2064"/>
      <c r="Q1532" s="2064"/>
    </row>
    <row r="1533" spans="1:22">
      <c r="A1533" s="1957"/>
      <c r="B1533" s="457"/>
      <c r="C1533" s="2064"/>
      <c r="D1533" s="2064"/>
      <c r="E1533" s="2064"/>
      <c r="F1533" s="2064"/>
      <c r="G1533" s="2064"/>
      <c r="H1533" s="2064"/>
      <c r="I1533" s="2064"/>
      <c r="J1533" s="2064"/>
      <c r="K1533" s="2064"/>
      <c r="L1533" s="2064"/>
      <c r="M1533" s="2064"/>
      <c r="N1533" s="1860"/>
      <c r="O1533" s="1860"/>
      <c r="P1533" s="1860"/>
      <c r="Q1533" s="1957"/>
    </row>
    <row r="1534" spans="1:22">
      <c r="A1534" s="1949" t="s">
        <v>3924</v>
      </c>
      <c r="B1534" s="1311" t="s">
        <v>3774</v>
      </c>
      <c r="C1534" s="1311"/>
      <c r="D1534" s="1311"/>
      <c r="E1534" s="1311"/>
      <c r="F1534" s="1311"/>
      <c r="G1534" s="1311"/>
      <c r="H1534" s="2068"/>
      <c r="I1534" s="2068"/>
      <c r="J1534" s="2068"/>
      <c r="O1534" s="2062" t="s">
        <v>1842</v>
      </c>
      <c r="P1534" s="1957"/>
      <c r="Q1534" s="1957"/>
    </row>
    <row r="1535" spans="1:22">
      <c r="A1535" s="457" t="s">
        <v>1957</v>
      </c>
      <c r="B1535" s="457" t="s">
        <v>3776</v>
      </c>
      <c r="C1535" s="1311"/>
      <c r="D1535" s="457"/>
      <c r="E1535" s="457"/>
      <c r="F1535" s="457"/>
      <c r="G1535" s="457"/>
      <c r="H1535" s="457"/>
      <c r="I1535" s="457"/>
      <c r="J1535" s="457"/>
      <c r="K1535" s="457"/>
      <c r="L1535" s="457"/>
      <c r="M1535" s="457"/>
      <c r="N1535" s="457"/>
      <c r="O1535" s="457"/>
      <c r="P1535" s="457"/>
      <c r="Q1535" s="457"/>
      <c r="R1535" s="457"/>
      <c r="S1535" s="1311"/>
      <c r="T1535" s="1311"/>
      <c r="U1535" s="1311"/>
      <c r="V1535" s="1311"/>
    </row>
    <row r="1536" spans="1:22">
      <c r="A1536" s="2098"/>
      <c r="B1536" s="2009" t="s">
        <v>1716</v>
      </c>
      <c r="C1536" s="457" t="s">
        <v>4589</v>
      </c>
      <c r="D1536" s="457"/>
      <c r="E1536" s="457"/>
      <c r="F1536" s="457"/>
      <c r="G1536" s="1311"/>
      <c r="H1536" s="457" t="s">
        <v>606</v>
      </c>
      <c r="I1536" s="1311"/>
      <c r="J1536" s="457">
        <f>'Part VIII-Threshold Criteria'!J378</f>
        <v>0</v>
      </c>
      <c r="K1536" s="457">
        <f>'Part VIII-Threshold Criteria'!K378</f>
        <v>0</v>
      </c>
      <c r="L1536" s="457">
        <f>'Part VIII-Threshold Criteria'!L378</f>
        <v>0</v>
      </c>
      <c r="M1536" s="457">
        <f>'Part VIII-Threshold Criteria'!M378</f>
        <v>0</v>
      </c>
      <c r="N1536" s="457" t="s">
        <v>3775</v>
      </c>
      <c r="O1536" s="457"/>
      <c r="P1536" s="457">
        <f>'Part VIII-Threshold Criteria'!P378</f>
        <v>0</v>
      </c>
      <c r="Q1536" s="457">
        <f>'Part VIII-Threshold Criteria'!Q378</f>
        <v>0</v>
      </c>
      <c r="R1536" s="1311"/>
      <c r="S1536" s="1311"/>
      <c r="T1536" s="1311"/>
      <c r="U1536" s="1311"/>
      <c r="V1536" s="1311"/>
    </row>
    <row r="1537" spans="1:22">
      <c r="A1537" s="2098"/>
      <c r="B1537" s="2009"/>
      <c r="C1537" s="2009"/>
      <c r="D1537" s="2009"/>
      <c r="E1537" s="2009"/>
      <c r="F1537" s="2009"/>
      <c r="G1537" s="2009"/>
      <c r="H1537" s="2009" t="s">
        <v>4582</v>
      </c>
      <c r="I1537" s="2009"/>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1"/>
      <c r="S1537" s="1311"/>
      <c r="T1537" s="1311"/>
      <c r="U1537" s="1311"/>
      <c r="V1537" s="1311"/>
    </row>
    <row r="1538" spans="1:22">
      <c r="A1538" s="1311"/>
      <c r="B1538" s="2009" t="s">
        <v>1717</v>
      </c>
      <c r="C1538" s="457" t="s">
        <v>3777</v>
      </c>
      <c r="D1538" s="1311"/>
      <c r="E1538" s="1311"/>
      <c r="F1538" s="1311"/>
      <c r="G1538" s="1311"/>
      <c r="H1538" s="1311"/>
      <c r="I1538" s="1311"/>
      <c r="J1538" s="2132">
        <f>'Part VIII-Threshold Criteria'!J380</f>
        <v>0</v>
      </c>
      <c r="K1538" s="2132">
        <f>'Part VIII-Threshold Criteria'!K380</f>
        <v>0</v>
      </c>
      <c r="L1538" s="1311"/>
      <c r="M1538" s="1311"/>
      <c r="N1538" s="1311"/>
      <c r="O1538" s="2098"/>
      <c r="P1538" s="1311"/>
      <c r="Q1538" s="1311"/>
      <c r="R1538" s="1311"/>
      <c r="S1538" s="1311"/>
      <c r="T1538" s="1311"/>
      <c r="U1538" s="1311"/>
      <c r="V1538" s="1311"/>
    </row>
    <row r="1539" spans="1:22">
      <c r="A1539" s="2098"/>
      <c r="B1539" s="2009" t="s">
        <v>1718</v>
      </c>
      <c r="C1539" s="457" t="s">
        <v>3778</v>
      </c>
      <c r="D1539" s="1311"/>
      <c r="E1539" s="2031"/>
      <c r="F1539" s="1311"/>
      <c r="G1539" s="1311"/>
      <c r="H1539" s="1311"/>
      <c r="I1539" s="2031"/>
      <c r="J1539" s="2031">
        <f>'Part I-Project Information'!K1198</f>
        <v>0</v>
      </c>
      <c r="K1539" s="2031"/>
      <c r="L1539" s="2031" t="s">
        <v>3779</v>
      </c>
      <c r="M1539" s="2031"/>
      <c r="N1539" s="2031"/>
      <c r="O1539" s="457" t="s">
        <v>1718</v>
      </c>
      <c r="P1539" s="457">
        <f>'Part VIII-Threshold Criteria'!P381</f>
        <v>0</v>
      </c>
      <c r="Q1539" s="457"/>
      <c r="R1539" s="1311"/>
      <c r="S1539" s="1311"/>
      <c r="T1539" s="1311"/>
      <c r="U1539" s="1311"/>
      <c r="V1539" s="1311"/>
    </row>
    <row r="1540" spans="1:22">
      <c r="A1540" s="2098"/>
      <c r="B1540" s="2009" t="s">
        <v>2336</v>
      </c>
      <c r="C1540" s="457" t="s">
        <v>4578</v>
      </c>
      <c r="D1540" s="1311"/>
      <c r="E1540" s="2031"/>
      <c r="F1540" s="2031"/>
      <c r="G1540" s="2031"/>
      <c r="H1540" s="457" t="s">
        <v>4579</v>
      </c>
      <c r="I1540" s="2031"/>
      <c r="J1540" s="2133">
        <f>'Part VIII-Threshold Criteria'!J382</f>
        <v>0</v>
      </c>
      <c r="K1540" s="2133">
        <f>'Part VIII-Threshold Criteria'!K382</f>
        <v>0</v>
      </c>
      <c r="L1540" s="2133"/>
      <c r="M1540" s="2133"/>
      <c r="N1540" s="1311"/>
      <c r="O1540" s="457"/>
      <c r="P1540" s="1311"/>
      <c r="Q1540" s="1311"/>
      <c r="R1540" s="1311"/>
      <c r="S1540" s="1311"/>
      <c r="T1540" s="1311"/>
      <c r="U1540" s="1311"/>
      <c r="V1540" s="1311"/>
    </row>
    <row r="1541" spans="1:22">
      <c r="A1541" s="2098"/>
      <c r="B1541" s="2009"/>
      <c r="C1541" s="457"/>
      <c r="D1541" s="1311"/>
      <c r="E1541" s="2031"/>
      <c r="F1541" s="2031"/>
      <c r="G1541" s="2031"/>
      <c r="H1541" s="457" t="s">
        <v>4580</v>
      </c>
      <c r="I1541" s="2031"/>
      <c r="J1541" s="457">
        <f>'Part VIII-Threshold Criteria'!J383</f>
        <v>0</v>
      </c>
      <c r="K1541" s="457">
        <f>'Part VIII-Threshold Criteria'!K383</f>
        <v>0</v>
      </c>
      <c r="L1541" s="457"/>
      <c r="M1541" s="457"/>
      <c r="N1541" s="457"/>
      <c r="O1541" s="2098"/>
      <c r="P1541" s="1311"/>
      <c r="Q1541" s="1311"/>
      <c r="R1541" s="1311"/>
      <c r="S1541" s="1311"/>
      <c r="T1541" s="1311"/>
      <c r="U1541" s="1311"/>
      <c r="V1541" s="1311"/>
    </row>
    <row r="1542" spans="1:22">
      <c r="A1542" s="2098"/>
      <c r="B1542" s="2009" t="s">
        <v>1530</v>
      </c>
      <c r="C1542" s="457" t="s">
        <v>3780</v>
      </c>
      <c r="D1542" s="1311"/>
      <c r="E1542" s="457"/>
      <c r="F1542" s="2133">
        <f>'Part IV-A-Uses of Funds'!J1331</f>
        <v>0</v>
      </c>
      <c r="G1542" s="2133"/>
      <c r="H1542" s="457" t="s">
        <v>3781</v>
      </c>
      <c r="I1542" s="457"/>
      <c r="J1542" s="457" t="str">
        <f>IF(F1542&gt;'DCA Underwriting Assumptions'!$Q$131, "Request exceeds DCA per project maximum for set aside!!!","")</f>
        <v/>
      </c>
      <c r="K1542" s="457"/>
      <c r="L1542" s="457"/>
      <c r="M1542" s="1311"/>
      <c r="N1542" s="1311"/>
      <c r="O1542" s="2098" t="s">
        <v>1530</v>
      </c>
      <c r="P1542" s="1314">
        <f>'Part VIII-Threshold Criteria'!P384</f>
        <v>0</v>
      </c>
      <c r="Q1542" s="1314"/>
      <c r="R1542" s="1311"/>
      <c r="S1542" s="1311"/>
      <c r="T1542" s="1311"/>
      <c r="U1542" s="1311"/>
      <c r="V1542" s="1311"/>
    </row>
    <row r="1543" spans="1:22">
      <c r="A1543" s="2098"/>
      <c r="B1543" s="2009" t="s">
        <v>1531</v>
      </c>
      <c r="C1543" s="457" t="s">
        <v>3782</v>
      </c>
      <c r="D1543" s="1311"/>
      <c r="E1543" s="457"/>
      <c r="F1543" s="457"/>
      <c r="G1543" s="457"/>
      <c r="H1543" s="457" t="s">
        <v>4581</v>
      </c>
      <c r="I1543" s="457"/>
      <c r="J1543" s="2133">
        <f>'Part VIII-Threshold Criteria'!J385</f>
        <v>0</v>
      </c>
      <c r="K1543" s="2133">
        <f>'Part VIII-Threshold Criteria'!K385</f>
        <v>0</v>
      </c>
      <c r="L1543" s="2133"/>
      <c r="M1543" s="2133"/>
      <c r="N1543" s="1311"/>
      <c r="O1543" s="1311"/>
      <c r="P1543" s="1311"/>
      <c r="Q1543" s="1311"/>
      <c r="R1543" s="1311"/>
      <c r="S1543" s="1311"/>
      <c r="T1543" s="1311"/>
      <c r="U1543" s="1311"/>
      <c r="V1543" s="1311"/>
    </row>
    <row r="1544" spans="1:22">
      <c r="A1544" s="1311"/>
      <c r="B1544" s="2009" t="s">
        <v>96</v>
      </c>
      <c r="C1544" s="457" t="s">
        <v>3783</v>
      </c>
      <c r="D1544" s="1311"/>
      <c r="E1544" s="2031"/>
      <c r="F1544" s="2031"/>
      <c r="G1544" s="2031"/>
      <c r="H1544" s="2031"/>
      <c r="I1544" s="2031"/>
      <c r="J1544" s="2031"/>
      <c r="K1544" s="2031"/>
      <c r="L1544" s="2031"/>
      <c r="M1544" s="1311"/>
      <c r="N1544" s="1311"/>
      <c r="O1544" s="2098" t="s">
        <v>96</v>
      </c>
      <c r="P1544" s="1314">
        <f>'Part VIII-Threshold Criteria'!P386</f>
        <v>0</v>
      </c>
      <c r="Q1544" s="1314"/>
      <c r="R1544" s="1311"/>
      <c r="S1544" s="1311"/>
      <c r="T1544" s="1311"/>
      <c r="U1544" s="1311"/>
      <c r="V1544" s="1311"/>
    </row>
    <row r="1545" spans="1:22">
      <c r="A1545" s="2098" t="s">
        <v>1959</v>
      </c>
      <c r="B1545" s="457" t="s">
        <v>3784</v>
      </c>
      <c r="C1545" s="1311"/>
      <c r="D1545" s="2031"/>
      <c r="E1545" s="2031"/>
      <c r="F1545" s="2031"/>
      <c r="G1545" s="2031"/>
      <c r="H1545" s="2031"/>
      <c r="I1545" s="1311"/>
      <c r="J1545" s="1311"/>
      <c r="K1545" s="1311"/>
      <c r="L1545" s="1311"/>
      <c r="M1545" s="1311"/>
      <c r="N1545" s="1311"/>
      <c r="O1545" s="1311"/>
      <c r="P1545" s="2031"/>
      <c r="Q1545" s="2031"/>
      <c r="R1545" s="2031"/>
      <c r="S1545" s="1311"/>
      <c r="T1545" s="1311"/>
      <c r="U1545" s="1311"/>
      <c r="V1545" s="1311"/>
    </row>
    <row r="1546" spans="1:22">
      <c r="A1546" s="1311"/>
      <c r="B1546" s="2009" t="s">
        <v>1716</v>
      </c>
      <c r="C1546" s="2009" t="s">
        <v>4634</v>
      </c>
      <c r="D1546" s="1311"/>
      <c r="E1546" s="1994"/>
      <c r="F1546" s="1994"/>
      <c r="G1546" s="1994"/>
      <c r="H1546" s="1994"/>
      <c r="I1546" s="1311"/>
      <c r="J1546" s="1311"/>
      <c r="K1546" s="1311"/>
      <c r="L1546" s="1311"/>
      <c r="M1546" s="1311"/>
      <c r="N1546" s="1311"/>
      <c r="O1546" s="1311"/>
      <c r="P1546" s="1314">
        <f>'Part VIII-Threshold Criteria'!P388</f>
        <v>0</v>
      </c>
      <c r="Q1546" s="1314"/>
      <c r="R1546" s="1311"/>
      <c r="S1546" s="1311"/>
      <c r="T1546" s="1311"/>
      <c r="U1546" s="1311"/>
      <c r="V1546" s="1311"/>
    </row>
    <row r="1547" spans="1:22" ht="12.75" customHeight="1">
      <c r="A1547" s="1311"/>
      <c r="B1547" s="2009"/>
      <c r="C1547" s="2009"/>
      <c r="D1547" s="1311"/>
      <c r="E1547" s="1994"/>
      <c r="F1547" s="1994"/>
      <c r="G1547" s="1994"/>
      <c r="H1547" s="1994"/>
      <c r="I1547" s="1311"/>
      <c r="J1547" s="457" t="s">
        <v>3788</v>
      </c>
      <c r="K1547" s="457"/>
      <c r="L1547" s="457"/>
      <c r="M1547" s="457"/>
      <c r="N1547" s="2031" t="s">
        <v>3786</v>
      </c>
      <c r="O1547" s="2031"/>
      <c r="P1547" s="1311"/>
      <c r="Q1547" s="1311"/>
      <c r="R1547" s="1311"/>
      <c r="S1547" s="1311"/>
      <c r="T1547" s="1311"/>
      <c r="U1547" s="1311"/>
      <c r="V1547" s="1311"/>
    </row>
    <row r="1548" spans="1:22">
      <c r="A1548" s="1785"/>
      <c r="B1548" s="2009" t="s">
        <v>1717</v>
      </c>
      <c r="C1548" s="2009" t="s">
        <v>3785</v>
      </c>
      <c r="D1548" s="1311"/>
      <c r="E1548" s="2031"/>
      <c r="F1548" s="2031"/>
      <c r="G1548" s="2031"/>
      <c r="H1548" s="2031"/>
      <c r="I1548" s="2098" t="s">
        <v>1717</v>
      </c>
      <c r="J1548" s="2133">
        <f>'Part VIII-Threshold Criteria'!J390</f>
        <v>0</v>
      </c>
      <c r="K1548" s="2133">
        <f>'Part VIII-Threshold Criteria'!K390</f>
        <v>0</v>
      </c>
      <c r="L1548" s="2133"/>
      <c r="M1548" s="2133"/>
      <c r="N1548" s="2134" t="e">
        <f>IF(J1548="","",J1540/J1548)</f>
        <v>#DIV/0!</v>
      </c>
      <c r="O1548" s="2134" t="str">
        <f>IF(L1548="","",L1540/L1548)</f>
        <v/>
      </c>
      <c r="P1548" s="2038">
        <f>'Part VIII-Threshold Criteria'!P390</f>
        <v>0</v>
      </c>
      <c r="Q1548" s="2038"/>
      <c r="R1548" s="1311"/>
      <c r="S1548" s="1311"/>
      <c r="T1548" s="1311"/>
      <c r="U1548" s="1311"/>
      <c r="V1548" s="1311"/>
    </row>
    <row r="1549" spans="1:22">
      <c r="A1549" s="1785"/>
      <c r="B1549" s="2009" t="s">
        <v>1718</v>
      </c>
      <c r="C1549" s="457" t="s">
        <v>3787</v>
      </c>
      <c r="D1549" s="1311"/>
      <c r="E1549" s="2031"/>
      <c r="F1549" s="2031"/>
      <c r="G1549" s="2031"/>
      <c r="H1549" s="2031"/>
      <c r="I1549" s="1311"/>
      <c r="J1549" s="1311"/>
      <c r="K1549" s="1311"/>
      <c r="L1549" s="1311"/>
      <c r="M1549" s="1311"/>
      <c r="N1549" s="2031"/>
      <c r="O1549" s="2098" t="s">
        <v>1718</v>
      </c>
      <c r="P1549" s="2038">
        <f>'Part VIII-Threshold Criteria'!P391</f>
        <v>0</v>
      </c>
      <c r="Q1549" s="2038"/>
      <c r="R1549" s="1311"/>
      <c r="S1549" s="1311"/>
      <c r="T1549" s="1311"/>
      <c r="U1549" s="1311"/>
      <c r="V1549" s="1311"/>
    </row>
    <row r="1550" spans="1:22">
      <c r="A1550" s="1311"/>
      <c r="B1550" s="2009" t="s">
        <v>2336</v>
      </c>
      <c r="C1550" s="457" t="s">
        <v>3789</v>
      </c>
      <c r="D1550" s="1311"/>
      <c r="E1550" s="2031"/>
      <c r="F1550" s="2031"/>
      <c r="G1550" s="2031"/>
      <c r="H1550" s="2031"/>
      <c r="I1550" s="1311"/>
      <c r="J1550" s="1311"/>
      <c r="K1550" s="1311"/>
      <c r="L1550" s="1311"/>
      <c r="M1550" s="2031"/>
      <c r="N1550" s="2031"/>
      <c r="O1550" s="2098" t="s">
        <v>2336</v>
      </c>
      <c r="P1550" s="1314">
        <f>'Part VIII-Threshold Criteria'!P392</f>
        <v>0</v>
      </c>
      <c r="Q1550" s="1314"/>
      <c r="R1550" s="1311"/>
      <c r="S1550" s="1311"/>
      <c r="T1550" s="1311"/>
      <c r="U1550" s="1311"/>
      <c r="V1550" s="1311"/>
    </row>
    <row r="1551" spans="1:22">
      <c r="B1551" s="2010" t="s">
        <v>3644</v>
      </c>
      <c r="D1551" s="2010"/>
      <c r="E1551" s="2010"/>
      <c r="F1551" s="2010"/>
      <c r="G1551" s="2010"/>
      <c r="H1551" s="2009"/>
      <c r="I1551" s="1314"/>
      <c r="J1551" s="457"/>
      <c r="K1551" s="457"/>
      <c r="L1551" s="1957"/>
      <c r="M1551" s="1957"/>
      <c r="N1551" s="1957"/>
      <c r="O1551" s="1957"/>
      <c r="P1551" s="1958"/>
      <c r="Q1551" s="1958"/>
    </row>
    <row r="1552" spans="1:22" ht="20.399999999999999">
      <c r="A1552" s="2064" t="str">
        <f>'Part VIII-Threshold Criteria'!A394</f>
        <v>Not applicable</v>
      </c>
      <c r="B1552" s="2064"/>
      <c r="C1552" s="2064"/>
      <c r="D1552" s="2064"/>
      <c r="E1552" s="2064"/>
      <c r="F1552" s="2064"/>
      <c r="G1552" s="2064"/>
      <c r="H1552" s="2064"/>
      <c r="I1552" s="2064"/>
      <c r="J1552" s="2064"/>
      <c r="K1552" s="2064"/>
      <c r="L1552" s="2064"/>
      <c r="M1552" s="2064"/>
      <c r="N1552" s="2064"/>
      <c r="O1552" s="2064"/>
      <c r="P1552" s="2064"/>
      <c r="Q1552" s="2064"/>
      <c r="U1552" s="1957"/>
      <c r="V1552" s="1957"/>
    </row>
    <row r="1553" spans="1:22">
      <c r="B1553" s="2066" t="s">
        <v>1841</v>
      </c>
      <c r="C1553" s="2067"/>
      <c r="D1553" s="2068"/>
      <c r="E1553" s="2068"/>
      <c r="F1553" s="2068"/>
      <c r="G1553" s="2068"/>
      <c r="H1553" s="2068"/>
      <c r="I1553" s="2068"/>
      <c r="J1553" s="2068"/>
      <c r="K1553" s="2068"/>
      <c r="L1553" s="2068"/>
      <c r="M1553" s="2068"/>
      <c r="N1553" s="2068"/>
      <c r="O1553" s="2068"/>
      <c r="P1553" s="2068"/>
      <c r="Q1553" s="2068"/>
    </row>
    <row r="1554" spans="1:22">
      <c r="A1554" s="2064">
        <f>'Part VIII-Threshold Criteria'!A396</f>
        <v>0</v>
      </c>
      <c r="B1554" s="2064"/>
      <c r="C1554" s="2064"/>
      <c r="D1554" s="2064"/>
      <c r="E1554" s="2064"/>
      <c r="F1554" s="2064"/>
      <c r="G1554" s="2064"/>
      <c r="H1554" s="2064"/>
      <c r="I1554" s="2064"/>
      <c r="J1554" s="2064"/>
      <c r="K1554" s="2064"/>
      <c r="L1554" s="2064"/>
      <c r="M1554" s="2064"/>
      <c r="N1554" s="2064"/>
      <c r="O1554" s="2064"/>
      <c r="P1554" s="2064"/>
      <c r="Q1554" s="2064"/>
    </row>
    <row r="1555" spans="1:22">
      <c r="A1555" s="1958"/>
      <c r="B1555" s="1314"/>
      <c r="C1555" s="2068"/>
      <c r="D1555" s="2068"/>
      <c r="E1555" s="2068"/>
      <c r="F1555" s="2068"/>
      <c r="G1555" s="2068"/>
      <c r="H1555" s="2068"/>
      <c r="I1555" s="2068"/>
      <c r="J1555" s="2068"/>
      <c r="K1555" s="2068"/>
      <c r="L1555" s="2068"/>
      <c r="M1555" s="2068"/>
      <c r="Q1555" s="1958"/>
    </row>
    <row r="1556" spans="1:22">
      <c r="A1556" s="1957"/>
      <c r="B1556" s="457"/>
      <c r="C1556" s="2064"/>
      <c r="D1556" s="2064"/>
      <c r="E1556" s="2064"/>
      <c r="F1556" s="2064"/>
      <c r="G1556" s="2064"/>
      <c r="H1556" s="2064"/>
      <c r="I1556" s="2064"/>
      <c r="J1556" s="2064"/>
      <c r="K1556" s="2064"/>
      <c r="L1556" s="2064"/>
      <c r="M1556" s="2064"/>
      <c r="N1556" s="1860"/>
      <c r="O1556" s="1860"/>
      <c r="P1556" s="1860"/>
      <c r="Q1556" s="1957"/>
    </row>
    <row r="1557" spans="1:22">
      <c r="A1557" s="1949" t="s">
        <v>3925</v>
      </c>
      <c r="B1557" s="1311" t="s">
        <v>2647</v>
      </c>
      <c r="C1557" s="1311"/>
      <c r="D1557" s="1311"/>
      <c r="E1557" s="1311"/>
      <c r="F1557" s="1311"/>
      <c r="G1557" s="1311"/>
      <c r="H1557" s="2068"/>
      <c r="I1557" s="2068"/>
      <c r="J1557" s="2068"/>
      <c r="O1557" s="2062" t="s">
        <v>1842</v>
      </c>
      <c r="P1557" s="1957"/>
      <c r="Q1557" s="1957"/>
    </row>
    <row r="1558" spans="1:22">
      <c r="A1558" s="457" t="s">
        <v>1957</v>
      </c>
      <c r="B1558" s="457" t="s">
        <v>1021</v>
      </c>
      <c r="C1558" s="1860"/>
      <c r="D1558" s="1860"/>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2634</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2098" t="s">
        <v>1959</v>
      </c>
      <c r="B1559" s="457" t="s">
        <v>3397</v>
      </c>
      <c r="D1559" s="457"/>
      <c r="E1559" s="457"/>
      <c r="F1559" s="457"/>
      <c r="G1559" s="457"/>
      <c r="H1559" s="457"/>
      <c r="I1559" s="457"/>
      <c r="J1559" s="457"/>
      <c r="K1559" s="457"/>
      <c r="L1559" s="2009"/>
      <c r="M1559" s="2009"/>
      <c r="O1559" s="2098" t="s">
        <v>1959</v>
      </c>
      <c r="P1559" s="1314">
        <f>'Part VIII-Threshold Criteria'!P401</f>
        <v>0</v>
      </c>
      <c r="Q1559" s="1314"/>
    </row>
    <row r="1560" spans="1:22" ht="12.75" customHeight="1">
      <c r="A1560" s="2095" t="s">
        <v>738</v>
      </c>
      <c r="B1560" s="2064" t="s">
        <v>3407</v>
      </c>
      <c r="C1560" s="2064"/>
      <c r="D1560" s="2064"/>
      <c r="E1560" s="2064"/>
      <c r="F1560" s="2064"/>
      <c r="G1560" s="2064"/>
      <c r="H1560" s="2064"/>
      <c r="I1560" s="2064"/>
      <c r="J1560" s="2064"/>
      <c r="K1560" s="2064"/>
      <c r="L1560" s="2064"/>
      <c r="M1560" s="2064"/>
      <c r="N1560" s="2064"/>
      <c r="O1560" s="2095" t="s">
        <v>738</v>
      </c>
      <c r="P1560" s="2096">
        <f>'Part VIII-Threshold Criteria'!P402</f>
        <v>0</v>
      </c>
      <c r="Q1560" s="2096"/>
    </row>
    <row r="1561" spans="1:22">
      <c r="A1561" s="2098" t="s">
        <v>2088</v>
      </c>
      <c r="B1561" s="1051" t="s">
        <v>3596</v>
      </c>
      <c r="G1561" s="1994"/>
      <c r="H1561" s="1994"/>
      <c r="I1561" s="1994"/>
      <c r="J1561" s="2009" t="s">
        <v>3597</v>
      </c>
      <c r="L1561" s="1994"/>
      <c r="M1561" s="2135">
        <f>'Part III-Sources of Funds'!H1163</f>
        <v>0</v>
      </c>
      <c r="N1561" s="2135"/>
      <c r="O1561" s="2098" t="s">
        <v>2088</v>
      </c>
      <c r="P1561" s="457">
        <f>'Part VIII-Threshold Criteria'!P403</f>
        <v>0</v>
      </c>
      <c r="Q1561" s="457"/>
    </row>
    <row r="1562" spans="1:22">
      <c r="B1562" s="2010" t="s">
        <v>3644</v>
      </c>
      <c r="D1562" s="2010"/>
      <c r="E1562" s="1997"/>
      <c r="F1562" s="1997"/>
      <c r="G1562" s="1997"/>
      <c r="H1562" s="457"/>
      <c r="I1562" s="457"/>
      <c r="J1562" s="457"/>
      <c r="K1562" s="457"/>
      <c r="L1562" s="1957"/>
      <c r="M1562" s="1957"/>
      <c r="N1562" s="1957"/>
      <c r="O1562" s="1957"/>
      <c r="P1562" s="1957"/>
      <c r="Q1562" s="1957"/>
    </row>
    <row r="1563" spans="1:22" ht="20.399999999999999">
      <c r="A1563" s="2064" t="str">
        <f>'Part VIII-Threshold Criteria'!A405</f>
        <v>Not applicable</v>
      </c>
      <c r="B1563" s="2064"/>
      <c r="C1563" s="2064"/>
      <c r="D1563" s="2064"/>
      <c r="E1563" s="2064"/>
      <c r="F1563" s="2064"/>
      <c r="G1563" s="2064"/>
      <c r="H1563" s="2064"/>
      <c r="I1563" s="2064"/>
      <c r="J1563" s="2064"/>
      <c r="K1563" s="2064"/>
      <c r="L1563" s="2064"/>
      <c r="M1563" s="2064"/>
      <c r="N1563" s="2064"/>
      <c r="O1563" s="2064"/>
      <c r="P1563" s="2064"/>
      <c r="Q1563" s="2064"/>
      <c r="U1563" s="1957"/>
      <c r="V1563" s="1957"/>
    </row>
    <row r="1564" spans="1:22">
      <c r="B1564" s="2066" t="s">
        <v>1841</v>
      </c>
      <c r="C1564" s="2067"/>
      <c r="D1564" s="2064"/>
      <c r="E1564" s="2064"/>
      <c r="F1564" s="2064"/>
      <c r="G1564" s="2064"/>
      <c r="H1564" s="2064"/>
      <c r="I1564" s="2064"/>
      <c r="J1564" s="2064"/>
      <c r="K1564" s="2064"/>
      <c r="L1564" s="2064"/>
      <c r="M1564" s="2064"/>
      <c r="N1564" s="2064"/>
      <c r="O1564" s="2068"/>
      <c r="P1564" s="2068"/>
      <c r="Q1564" s="2068"/>
    </row>
    <row r="1565" spans="1:22">
      <c r="A1565" s="2064">
        <f>'Part VIII-Threshold Criteria'!A407</f>
        <v>0</v>
      </c>
      <c r="B1565" s="2064"/>
      <c r="C1565" s="2064"/>
      <c r="D1565" s="2064"/>
      <c r="E1565" s="2064"/>
      <c r="F1565" s="2064"/>
      <c r="G1565" s="2064"/>
      <c r="H1565" s="2064"/>
      <c r="I1565" s="2064"/>
      <c r="J1565" s="2064"/>
      <c r="K1565" s="2064"/>
      <c r="L1565" s="2064"/>
      <c r="M1565" s="2064"/>
      <c r="N1565" s="2064"/>
      <c r="O1565" s="2064"/>
      <c r="P1565" s="2064"/>
      <c r="Q1565" s="2064"/>
    </row>
    <row r="1566" spans="1:22">
      <c r="A1566" s="1958"/>
      <c r="B1566" s="1314"/>
      <c r="C1566" s="2068"/>
      <c r="D1566" s="2068"/>
      <c r="E1566" s="2068"/>
      <c r="F1566" s="2068"/>
      <c r="G1566" s="2068"/>
      <c r="H1566" s="2068"/>
      <c r="I1566" s="2068"/>
      <c r="J1566" s="2068"/>
      <c r="K1566" s="2068"/>
      <c r="L1566" s="2068"/>
      <c r="M1566" s="2068"/>
      <c r="Q1566" s="1958"/>
    </row>
    <row r="1567" spans="1:22">
      <c r="A1567" s="1311" t="s">
        <v>3926</v>
      </c>
      <c r="B1567" s="1311" t="s">
        <v>2631</v>
      </c>
      <c r="C1567" s="1311"/>
      <c r="D1567" s="1311"/>
      <c r="E1567" s="2064"/>
      <c r="F1567" s="1860"/>
      <c r="G1567" s="2061" t="s">
        <v>690</v>
      </c>
      <c r="H1567" s="2064"/>
      <c r="I1567" s="2064"/>
      <c r="J1567" s="2064"/>
      <c r="K1567" s="2064"/>
      <c r="L1567" s="2064"/>
      <c r="M1567" s="2064"/>
      <c r="N1567" s="1860"/>
      <c r="O1567" s="2064" t="s">
        <v>1842</v>
      </c>
      <c r="P1567" s="1957"/>
      <c r="Q1567" s="1957"/>
    </row>
    <row r="1568" spans="1:22">
      <c r="A1568" s="2098" t="s">
        <v>1957</v>
      </c>
      <c r="B1568" s="457" t="s">
        <v>2636</v>
      </c>
      <c r="D1568" s="2064"/>
      <c r="E1568" s="2064"/>
      <c r="H1568" s="2061"/>
      <c r="O1568" s="2098" t="s">
        <v>1957</v>
      </c>
      <c r="P1568" s="1314">
        <f>'Part VIII-Threshold Criteria'!P410</f>
        <v>0</v>
      </c>
      <c r="Q1568" s="1314"/>
    </row>
    <row r="1569" spans="1:22">
      <c r="A1569" s="457" t="s">
        <v>1959</v>
      </c>
      <c r="B1569" s="457" t="s">
        <v>3509</v>
      </c>
      <c r="C1569" s="1860"/>
      <c r="D1569" s="2064"/>
      <c r="E1569" s="2064"/>
      <c r="F1569" s="1860"/>
      <c r="G1569" s="1860"/>
      <c r="H1569" s="1860"/>
      <c r="I1569" s="1860"/>
      <c r="J1569" s="1860"/>
      <c r="K1569" s="1860"/>
      <c r="L1569" s="1860"/>
      <c r="M1569" s="1860"/>
      <c r="N1569" s="1860"/>
      <c r="O1569" s="457" t="s">
        <v>1959</v>
      </c>
      <c r="P1569" s="457">
        <f>'Part VIII-Threshold Criteria'!P411</f>
        <v>0</v>
      </c>
      <c r="Q1569" s="457"/>
    </row>
    <row r="1570" spans="1:22">
      <c r="A1570" s="2098" t="s">
        <v>738</v>
      </c>
      <c r="B1570" s="457" t="s">
        <v>3896</v>
      </c>
      <c r="D1570" s="2064"/>
      <c r="E1570" s="2064"/>
      <c r="O1570" s="2098" t="s">
        <v>738</v>
      </c>
      <c r="P1570" s="1314">
        <f>'Part VIII-Threshold Criteria'!P412</f>
        <v>0</v>
      </c>
      <c r="Q1570" s="1314"/>
    </row>
    <row r="1571" spans="1:22">
      <c r="A1571" s="2098" t="s">
        <v>2088</v>
      </c>
      <c r="B1571" s="457" t="s">
        <v>3510</v>
      </c>
      <c r="E1571" s="2061"/>
      <c r="O1571" s="2098" t="s">
        <v>2088</v>
      </c>
      <c r="P1571" s="457">
        <f>'Part VIII-Threshold Criteria'!P413</f>
        <v>0</v>
      </c>
      <c r="Q1571" s="457"/>
    </row>
    <row r="1572" spans="1:22">
      <c r="A1572" s="2098" t="s">
        <v>1714</v>
      </c>
      <c r="B1572" s="457" t="s">
        <v>2053</v>
      </c>
      <c r="E1572" s="2061"/>
      <c r="G1572" s="2098" t="s">
        <v>1714</v>
      </c>
      <c r="H1572" s="2031">
        <f>'Part VIII-Threshold Criteria'!H414</f>
        <v>0</v>
      </c>
      <c r="I1572" s="2031">
        <f>'Part VIII-Threshold Criteria'!I414</f>
        <v>0</v>
      </c>
      <c r="J1572" s="2031">
        <f>'Part VIII-Threshold Criteria'!J414</f>
        <v>0</v>
      </c>
      <c r="K1572" s="2031">
        <f>'Part VIII-Threshold Criteria'!K414</f>
        <v>0</v>
      </c>
      <c r="L1572" s="2031">
        <f>'Part VIII-Threshold Criteria'!L414</f>
        <v>0</v>
      </c>
      <c r="M1572" s="2031">
        <f>'Part VIII-Threshold Criteria'!M414</f>
        <v>0</v>
      </c>
      <c r="N1572" s="2031">
        <f>'Part VIII-Threshold Criteria'!N414</f>
        <v>0</v>
      </c>
      <c r="O1572" s="2031">
        <f>'Part VIII-Threshold Criteria'!O414</f>
        <v>0</v>
      </c>
      <c r="P1572" s="1314">
        <f>'Part VIII-Threshold Criteria'!P414</f>
        <v>0</v>
      </c>
      <c r="Q1572" s="1314"/>
    </row>
    <row r="1573" spans="1:22">
      <c r="B1573" s="2010" t="s">
        <v>3644</v>
      </c>
      <c r="D1573" s="2010"/>
      <c r="E1573" s="2010"/>
      <c r="F1573" s="2010"/>
      <c r="G1573" s="2010"/>
      <c r="H1573" s="2009"/>
      <c r="I1573" s="1314"/>
      <c r="J1573" s="1314"/>
      <c r="K1573" s="1314"/>
      <c r="L1573" s="1958"/>
      <c r="M1573" s="1958"/>
      <c r="N1573" s="1958"/>
      <c r="O1573" s="1958"/>
      <c r="P1573" s="1958"/>
      <c r="Q1573" s="1958"/>
    </row>
    <row r="1574" spans="1:22">
      <c r="A1574" s="2064" t="str">
        <f>'Part VIII-Threshold Criteria'!A416</f>
        <v>Not applicble</v>
      </c>
      <c r="B1574" s="2064"/>
      <c r="C1574" s="2064"/>
      <c r="D1574" s="2064"/>
      <c r="E1574" s="2064"/>
      <c r="F1574" s="2064"/>
      <c r="G1574" s="2064"/>
      <c r="H1574" s="2064"/>
      <c r="I1574" s="2064"/>
      <c r="J1574" s="2064"/>
      <c r="K1574" s="2064"/>
      <c r="L1574" s="2064"/>
      <c r="M1574" s="2064"/>
      <c r="N1574" s="2064"/>
      <c r="O1574" s="2064"/>
      <c r="P1574" s="2064"/>
      <c r="Q1574" s="2064"/>
      <c r="U1574" s="1957"/>
      <c r="V1574" s="1957"/>
    </row>
    <row r="1575" spans="1:22">
      <c r="B1575" s="2066" t="s">
        <v>1841</v>
      </c>
      <c r="C1575" s="2067"/>
      <c r="D1575" s="2068"/>
      <c r="E1575" s="2068"/>
      <c r="F1575" s="2068"/>
      <c r="G1575" s="2068"/>
      <c r="H1575" s="2068"/>
      <c r="I1575" s="2068"/>
      <c r="J1575" s="2068"/>
      <c r="K1575" s="2068"/>
      <c r="L1575" s="2068"/>
      <c r="M1575" s="2068"/>
      <c r="N1575" s="2068"/>
      <c r="O1575" s="2068"/>
      <c r="P1575" s="2068"/>
      <c r="Q1575" s="2068"/>
    </row>
    <row r="1576" spans="1:22">
      <c r="A1576" s="2064">
        <f>'Part VIII-Threshold Criteria'!A418</f>
        <v>0</v>
      </c>
      <c r="B1576" s="2064"/>
      <c r="C1576" s="2064"/>
      <c r="D1576" s="2064"/>
      <c r="E1576" s="2064"/>
      <c r="F1576" s="2064"/>
      <c r="G1576" s="2064"/>
      <c r="H1576" s="2064"/>
      <c r="I1576" s="2064"/>
      <c r="J1576" s="2064"/>
      <c r="K1576" s="2064"/>
      <c r="L1576" s="2064"/>
      <c r="M1576" s="2064"/>
      <c r="N1576" s="2064"/>
      <c r="O1576" s="2064"/>
      <c r="P1576" s="2064"/>
      <c r="Q1576" s="2064"/>
    </row>
    <row r="1577" spans="1:22">
      <c r="A1577" s="1958"/>
      <c r="B1577" s="1314"/>
      <c r="C1577" s="2068"/>
      <c r="D1577" s="2068"/>
      <c r="E1577" s="2068"/>
      <c r="F1577" s="2068"/>
      <c r="G1577" s="2068"/>
      <c r="H1577" s="2068"/>
      <c r="I1577" s="2068"/>
      <c r="J1577" s="2068"/>
      <c r="K1577" s="2068"/>
      <c r="L1577" s="2068"/>
      <c r="M1577" s="2068"/>
      <c r="N1577" s="2068"/>
      <c r="O1577" s="2068"/>
      <c r="P1577" s="2068"/>
      <c r="Q1577" s="1958"/>
    </row>
    <row r="1578" spans="1:22">
      <c r="A1578" s="1311" t="s">
        <v>3927</v>
      </c>
      <c r="B1578" s="1311" t="s">
        <v>2632</v>
      </c>
      <c r="C1578" s="1311"/>
      <c r="D1578" s="1311"/>
      <c r="E1578" s="1311"/>
      <c r="F1578" s="1311"/>
      <c r="G1578" s="1311"/>
      <c r="H1578" s="2064"/>
      <c r="I1578" s="2064"/>
      <c r="J1578" s="2064"/>
      <c r="K1578" s="2064"/>
      <c r="L1578" s="2064"/>
      <c r="M1578" s="2064"/>
      <c r="N1578" s="1860"/>
      <c r="O1578" s="2064" t="s">
        <v>1842</v>
      </c>
      <c r="P1578" s="1957"/>
      <c r="Q1578" s="1957"/>
    </row>
    <row r="1579" spans="1:22">
      <c r="A1579" s="2098" t="s">
        <v>1957</v>
      </c>
      <c r="B1579" s="457" t="s">
        <v>741</v>
      </c>
      <c r="D1579" s="1311"/>
      <c r="E1579" s="1311"/>
      <c r="F1579" s="1311"/>
      <c r="G1579" s="1311"/>
      <c r="H1579" s="1311"/>
      <c r="I1579" s="1311"/>
      <c r="J1579" s="1311"/>
      <c r="K1579" s="1311"/>
      <c r="L1579" s="1311"/>
      <c r="M1579" s="1311"/>
      <c r="N1579" s="1311"/>
      <c r="O1579" s="2098" t="s">
        <v>1957</v>
      </c>
      <c r="P1579" s="1314" t="str">
        <f>'Part VIII-Threshold Criteria'!P421</f>
        <v>No</v>
      </c>
      <c r="Q1579" s="1314"/>
    </row>
    <row r="1580" spans="1:22">
      <c r="A1580" s="457" t="s">
        <v>1959</v>
      </c>
      <c r="B1580" s="457" t="s">
        <v>3409</v>
      </c>
      <c r="C1580" s="1860"/>
      <c r="D1580" s="1311"/>
      <c r="E1580" s="1311"/>
      <c r="F1580" s="1311"/>
      <c r="G1580" s="1311"/>
      <c r="H1580" s="1311"/>
      <c r="I1580" s="1311"/>
      <c r="J1580" s="1311"/>
      <c r="K1580" s="1311"/>
      <c r="L1580" s="1311"/>
      <c r="M1580" s="1311"/>
      <c r="N1580" s="1311"/>
      <c r="O1580" s="457" t="s">
        <v>1430</v>
      </c>
      <c r="P1580" s="457">
        <f>'Part VIII-Threshold Criteria'!P422</f>
        <v>0</v>
      </c>
      <c r="Q1580" s="457"/>
    </row>
    <row r="1581" spans="1:22">
      <c r="A1581" s="2098"/>
      <c r="C1581" s="457" t="s">
        <v>1465</v>
      </c>
      <c r="D1581" s="457"/>
      <c r="E1581" s="457"/>
      <c r="F1581" s="457"/>
      <c r="G1581" s="457"/>
      <c r="H1581" s="457"/>
      <c r="I1581" s="457"/>
      <c r="J1581" s="457"/>
      <c r="K1581" s="457"/>
      <c r="L1581" s="457"/>
      <c r="M1581" s="457"/>
      <c r="N1581" s="1311"/>
    </row>
    <row r="1582" spans="1:22">
      <c r="A1582" s="2098"/>
      <c r="B1582" s="457" t="s">
        <v>1717</v>
      </c>
      <c r="C1582" s="457" t="s">
        <v>3408</v>
      </c>
      <c r="E1582" s="457"/>
      <c r="F1582" s="457"/>
      <c r="G1582" s="457"/>
      <c r="H1582" s="457"/>
      <c r="I1582" s="457"/>
      <c r="J1582" s="457"/>
      <c r="K1582" s="457"/>
      <c r="L1582" s="457"/>
      <c r="M1582" s="457"/>
      <c r="N1582" s="1311"/>
      <c r="O1582" s="2098" t="s">
        <v>1717</v>
      </c>
      <c r="P1582" s="457">
        <f>'Part VIII-Threshold Criteria'!P424</f>
        <v>0</v>
      </c>
      <c r="Q1582" s="457"/>
    </row>
    <row r="1583" spans="1:22">
      <c r="A1583" s="2098"/>
      <c r="B1583" s="457" t="s">
        <v>3500</v>
      </c>
      <c r="C1583" s="457" t="s">
        <v>3501</v>
      </c>
      <c r="E1583" s="457"/>
      <c r="F1583" s="457"/>
      <c r="G1583" s="457"/>
      <c r="H1583" s="457"/>
      <c r="I1583" s="457"/>
      <c r="J1583" s="457"/>
      <c r="K1583" s="457"/>
      <c r="L1583" s="457"/>
      <c r="M1583" s="457"/>
      <c r="N1583" s="1311"/>
      <c r="O1583" s="2098" t="s">
        <v>1718</v>
      </c>
      <c r="P1583" s="1314">
        <f>'Part VIII-Threshold Criteria'!P425</f>
        <v>0</v>
      </c>
      <c r="Q1583" s="1314"/>
    </row>
    <row r="1584" spans="1:22">
      <c r="A1584" s="2098" t="s">
        <v>738</v>
      </c>
      <c r="B1584" s="457" t="s">
        <v>2174</v>
      </c>
      <c r="C1584" s="457"/>
      <c r="E1584" s="457"/>
      <c r="F1584" s="457"/>
      <c r="G1584" s="457"/>
      <c r="H1584" s="457"/>
      <c r="I1584" s="457"/>
      <c r="J1584" s="457"/>
      <c r="K1584" s="457"/>
      <c r="L1584" s="457"/>
      <c r="M1584" s="457"/>
      <c r="N1584" s="457"/>
      <c r="O1584" s="2098" t="s">
        <v>738</v>
      </c>
      <c r="P1584" s="1314">
        <f>'Part VIII-Threshold Criteria'!P426</f>
        <v>0</v>
      </c>
      <c r="Q1584" s="1314"/>
    </row>
    <row r="1585" spans="1:22" ht="12.75" customHeight="1">
      <c r="A1585" s="2098" t="s">
        <v>2088</v>
      </c>
      <c r="B1585" s="2064" t="s">
        <v>2765</v>
      </c>
      <c r="C1585" s="2064"/>
      <c r="D1585" s="2064"/>
      <c r="E1585" s="2064"/>
      <c r="F1585" s="2009"/>
      <c r="G1585" s="457" t="s">
        <v>2175</v>
      </c>
      <c r="J1585" s="1958">
        <f>'Part VIII-Threshold Criteria'!J427</f>
        <v>0</v>
      </c>
      <c r="K1585" s="1958"/>
      <c r="M1585" s="457" t="s">
        <v>2178</v>
      </c>
      <c r="P1585" s="1958">
        <f>'Part VIII-Threshold Criteria'!P427</f>
        <v>0</v>
      </c>
      <c r="Q1585" s="1958"/>
    </row>
    <row r="1586" spans="1:22">
      <c r="A1586" s="2098"/>
      <c r="B1586" s="2064"/>
      <c r="C1586" s="2064"/>
      <c r="D1586" s="2064"/>
      <c r="E1586" s="2064"/>
      <c r="F1586" s="2009"/>
      <c r="G1586" s="457" t="s">
        <v>2176</v>
      </c>
      <c r="J1586" s="1958">
        <f>'Part VIII-Threshold Criteria'!J428</f>
        <v>0</v>
      </c>
      <c r="K1586" s="1958"/>
      <c r="M1586" s="457" t="s">
        <v>2179</v>
      </c>
      <c r="P1586" s="1958">
        <f>'Part VIII-Threshold Criteria'!P428</f>
        <v>0</v>
      </c>
      <c r="Q1586" s="1958"/>
    </row>
    <row r="1587" spans="1:22">
      <c r="A1587" s="2098"/>
      <c r="B1587" s="2064"/>
      <c r="C1587" s="2064"/>
      <c r="D1587" s="2064"/>
      <c r="E1587" s="2064"/>
      <c r="F1587" s="2009"/>
      <c r="G1587" s="457" t="s">
        <v>2177</v>
      </c>
      <c r="J1587" s="1958">
        <f>'Part VIII-Threshold Criteria'!J429</f>
        <v>0</v>
      </c>
      <c r="K1587" s="1958"/>
      <c r="L1587" s="2009"/>
      <c r="M1587" s="1311"/>
      <c r="N1587" s="2098"/>
    </row>
    <row r="1588" spans="1:22">
      <c r="A1588" s="2098" t="s">
        <v>1714</v>
      </c>
      <c r="B1588" s="2009" t="s">
        <v>4596</v>
      </c>
      <c r="C1588" s="2009"/>
      <c r="E1588" s="2009"/>
      <c r="F1588" s="2009"/>
      <c r="G1588" s="2009"/>
      <c r="J1588" s="1311"/>
      <c r="K1588" s="2009"/>
      <c r="L1588" s="2009"/>
      <c r="M1588" s="1311"/>
      <c r="N1588" s="2098"/>
      <c r="P1588" s="2098"/>
      <c r="Q1588" s="2098"/>
    </row>
    <row r="1589" spans="1:22">
      <c r="A1589" s="2098"/>
      <c r="B1589" s="2025" t="s">
        <v>1716</v>
      </c>
      <c r="C1589" s="457" t="s">
        <v>4446</v>
      </c>
      <c r="D1589" s="1860"/>
      <c r="E1589" s="457"/>
      <c r="G1589" s="1051" t="s">
        <v>4441</v>
      </c>
      <c r="H1589" s="2009"/>
      <c r="I1589" s="2009"/>
      <c r="J1589" s="1314">
        <f>'Part VIII-Threshold Criteria'!J431</f>
        <v>0</v>
      </c>
      <c r="K1589" s="1314"/>
      <c r="L1589" s="2009"/>
      <c r="M1589" s="1051" t="s">
        <v>4444</v>
      </c>
    </row>
    <row r="1590" spans="1:22">
      <c r="A1590" s="1311"/>
      <c r="B1590" s="1860"/>
      <c r="C1590" s="1860"/>
      <c r="D1590" s="1860"/>
      <c r="E1590" s="1860"/>
      <c r="G1590" s="1051" t="s">
        <v>4442</v>
      </c>
      <c r="H1590" s="2009"/>
      <c r="I1590" s="2009"/>
      <c r="J1590" s="1314">
        <f>'Part VIII-Threshold Criteria'!J432</f>
        <v>0</v>
      </c>
      <c r="K1590" s="1314"/>
      <c r="M1590" s="1852">
        <f>'Part VIII-Threshold Criteria'!M432</f>
        <v>0</v>
      </c>
      <c r="N1590" s="1852">
        <f>'Part VIII-Threshold Criteria'!N432</f>
        <v>0</v>
      </c>
      <c r="O1590" s="1852">
        <f>'Part VIII-Threshold Criteria'!O432</f>
        <v>0</v>
      </c>
      <c r="P1590" s="1852">
        <f>'Part VIII-Threshold Criteria'!P432</f>
        <v>0</v>
      </c>
      <c r="Q1590" s="1852">
        <f>'Part VIII-Threshold Criteria'!Q432</f>
        <v>0</v>
      </c>
    </row>
    <row r="1591" spans="1:22">
      <c r="A1591" s="1311"/>
      <c r="B1591" s="1860"/>
      <c r="C1591" s="1860"/>
      <c r="D1591" s="1860"/>
      <c r="E1591" s="1860"/>
      <c r="G1591" s="1051" t="s">
        <v>4443</v>
      </c>
      <c r="H1591" s="2009"/>
      <c r="J1591" s="1314">
        <f>'Part VIII-Threshold Criteria'!J433</f>
        <v>0</v>
      </c>
      <c r="K1591" s="1314"/>
      <c r="M1591" s="1852">
        <f>'Part VIII-Threshold Criteria'!M433</f>
        <v>0</v>
      </c>
      <c r="N1591" s="1852">
        <f>'Part VIII-Threshold Criteria'!N433</f>
        <v>0</v>
      </c>
      <c r="O1591" s="1852">
        <f>'Part VIII-Threshold Criteria'!O433</f>
        <v>0</v>
      </c>
      <c r="P1591" s="1852">
        <f>'Part VIII-Threshold Criteria'!P433</f>
        <v>0</v>
      </c>
      <c r="Q1591" s="1852">
        <f>'Part VIII-Threshold Criteria'!Q433</f>
        <v>0</v>
      </c>
    </row>
    <row r="1592" spans="1:22">
      <c r="A1592" s="2098"/>
      <c r="B1592" s="1051" t="s">
        <v>1717</v>
      </c>
      <c r="C1592" s="2009" t="s">
        <v>4445</v>
      </c>
      <c r="E1592" s="2009"/>
      <c r="F1592" s="2009"/>
      <c r="L1592" s="2009"/>
      <c r="M1592" s="2009"/>
      <c r="O1592" s="2098" t="s">
        <v>1717</v>
      </c>
      <c r="P1592" s="1314" t="str">
        <f>'Part VIII-Threshold Criteria'!P434</f>
        <v>&lt;&lt;Select&gt;&gt;</v>
      </c>
      <c r="Q1592" s="1314" t="s">
        <v>1749</v>
      </c>
    </row>
    <row r="1593" spans="1:22">
      <c r="A1593" s="1311"/>
      <c r="C1593" s="1051" t="s">
        <v>2403</v>
      </c>
      <c r="D1593" s="1051" t="s">
        <v>4453</v>
      </c>
      <c r="E1593" s="2009"/>
      <c r="F1593" s="2009"/>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2109"/>
    </row>
    <row r="1594" spans="1:22">
      <c r="A1594" s="1311"/>
      <c r="C1594" s="1051" t="s">
        <v>2404</v>
      </c>
      <c r="D1594" s="1051" t="s">
        <v>4454</v>
      </c>
      <c r="E1594" s="2009"/>
      <c r="F1594" s="2109"/>
      <c r="G1594" s="457" t="str">
        <f>'Part VIII-Threshold Criteria'!G436</f>
        <v>&lt;&lt; Select &gt;&gt;</v>
      </c>
      <c r="H1594" s="457">
        <f>'Part VIII-Threshold Criteria'!H436</f>
        <v>0</v>
      </c>
      <c r="I1594" s="457">
        <f>'Part VIII-Threshold Criteria'!I436</f>
        <v>0</v>
      </c>
      <c r="J1594" s="1051" t="s">
        <v>4455</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1"/>
      <c r="C1595" s="1051" t="s">
        <v>4657</v>
      </c>
      <c r="E1595" s="2009"/>
      <c r="F1595" s="2009"/>
      <c r="G1595" s="2009"/>
      <c r="H1595" s="2009"/>
      <c r="I1595" s="2009"/>
      <c r="J1595" s="2009"/>
      <c r="K1595" s="2009"/>
      <c r="L1595" s="2009"/>
      <c r="M1595" s="457"/>
      <c r="N1595" s="457"/>
      <c r="O1595" s="457"/>
      <c r="P1595" s="457"/>
      <c r="Q1595" s="457"/>
    </row>
    <row r="1596" spans="1:22" ht="15">
      <c r="B1596" s="1852">
        <f>'Part VIII-Threshold Criteria'!B438</f>
        <v>0</v>
      </c>
      <c r="C1596" s="1852">
        <f>'Part VIII-Threshold Criteria'!C438</f>
        <v>0</v>
      </c>
      <c r="D1596" s="1852">
        <f>'Part VIII-Threshold Criteria'!D438</f>
        <v>0</v>
      </c>
      <c r="E1596" s="1852">
        <f>'Part VIII-Threshold Criteria'!E438</f>
        <v>0</v>
      </c>
      <c r="F1596" s="1852">
        <f>'Part VIII-Threshold Criteria'!F438</f>
        <v>0</v>
      </c>
      <c r="G1596" s="1852">
        <f>'Part VIII-Threshold Criteria'!G438</f>
        <v>0</v>
      </c>
      <c r="H1596" s="1852">
        <f>'Part VIII-Threshold Criteria'!H438</f>
        <v>0</v>
      </c>
      <c r="I1596" s="1852">
        <f>'Part VIII-Threshold Criteria'!I438</f>
        <v>0</v>
      </c>
      <c r="J1596" s="1852">
        <f>'Part VIII-Threshold Criteria'!J438</f>
        <v>0</v>
      </c>
      <c r="K1596" s="1852">
        <f>'Part VIII-Threshold Criteria'!K438</f>
        <v>0</v>
      </c>
      <c r="L1596" s="1852">
        <f>'Part VIII-Threshold Criteria'!L438</f>
        <v>0</v>
      </c>
      <c r="M1596" s="1852">
        <f>'Part VIII-Threshold Criteria'!M438</f>
        <v>0</v>
      </c>
      <c r="N1596" s="1852">
        <f>'Part VIII-Threshold Criteria'!N438</f>
        <v>0</v>
      </c>
      <c r="O1596" s="1852">
        <f>'Part VIII-Threshold Criteria'!O438</f>
        <v>0</v>
      </c>
      <c r="P1596" s="1852">
        <f>'Part VIII-Threshold Criteria'!P438</f>
        <v>0</v>
      </c>
      <c r="Q1596" s="1852">
        <f>'Part VIII-Threshold Criteria'!Q438</f>
        <v>0</v>
      </c>
      <c r="R1596" s="2065" t="s">
        <v>4447</v>
      </c>
      <c r="U1596" s="1957"/>
      <c r="V1596" s="1957"/>
    </row>
    <row r="1597" spans="1:22">
      <c r="B1597" s="2010" t="s">
        <v>3644</v>
      </c>
      <c r="D1597" s="2010"/>
      <c r="E1597" s="2010"/>
      <c r="F1597" s="2010"/>
      <c r="G1597" s="1997"/>
      <c r="H1597" s="457"/>
      <c r="I1597" s="457"/>
      <c r="J1597" s="457"/>
      <c r="K1597" s="457"/>
    </row>
    <row r="1598" spans="1:22" ht="142.80000000000001">
      <c r="A1598" s="2064" t="str">
        <f>'Part VIII-Threshold Criteria'!A440</f>
        <v xml:space="preserve">There are no structures on this site and no displacements would occur as a result of this development.   The relocation summary has been included.        </v>
      </c>
      <c r="B1598" s="2064"/>
      <c r="C1598" s="2064"/>
      <c r="D1598" s="2064"/>
      <c r="E1598" s="2064"/>
      <c r="F1598" s="2064"/>
      <c r="G1598" s="2064"/>
      <c r="H1598" s="2064"/>
      <c r="I1598" s="2064"/>
      <c r="J1598" s="2064"/>
      <c r="K1598" s="2064"/>
      <c r="L1598" s="2064"/>
      <c r="M1598" s="2064"/>
      <c r="N1598" s="2064"/>
      <c r="O1598" s="2064"/>
      <c r="P1598" s="2064"/>
      <c r="Q1598" s="2064"/>
      <c r="U1598" s="1957"/>
      <c r="V1598" s="1957"/>
    </row>
    <row r="1599" spans="1:22">
      <c r="B1599" s="2066" t="s">
        <v>1841</v>
      </c>
      <c r="C1599" s="2067"/>
      <c r="D1599" s="2068"/>
      <c r="E1599" s="2068"/>
      <c r="F1599" s="2068"/>
      <c r="G1599" s="2068"/>
      <c r="H1599" s="2068"/>
      <c r="I1599" s="2068"/>
      <c r="J1599" s="2068"/>
      <c r="K1599" s="2068"/>
      <c r="L1599" s="2068"/>
      <c r="M1599" s="2068"/>
      <c r="N1599" s="2068"/>
      <c r="O1599" s="2068"/>
      <c r="P1599" s="2068"/>
      <c r="Q1599" s="2068"/>
    </row>
    <row r="1600" spans="1:22">
      <c r="A1600" s="2064">
        <f>'Part VIII-Threshold Criteria'!A442</f>
        <v>0</v>
      </c>
      <c r="B1600" s="2064"/>
      <c r="C1600" s="2064"/>
      <c r="D1600" s="2064"/>
      <c r="E1600" s="2064"/>
      <c r="F1600" s="2064"/>
      <c r="G1600" s="2064"/>
      <c r="H1600" s="2064"/>
      <c r="I1600" s="2064"/>
      <c r="J1600" s="2064"/>
      <c r="K1600" s="2064"/>
      <c r="L1600" s="2064"/>
      <c r="M1600" s="2064"/>
      <c r="N1600" s="2064"/>
      <c r="O1600" s="2064"/>
      <c r="P1600" s="2064"/>
      <c r="Q1600" s="2064"/>
    </row>
    <row r="1601" spans="1:22">
      <c r="A1601" s="1958"/>
      <c r="B1601" s="1314"/>
      <c r="C1601" s="2068"/>
      <c r="D1601" s="2068"/>
      <c r="E1601" s="2068"/>
      <c r="F1601" s="2068"/>
      <c r="G1601" s="2068"/>
      <c r="H1601" s="2068"/>
      <c r="I1601" s="2068"/>
      <c r="J1601" s="2068"/>
      <c r="K1601" s="2068"/>
      <c r="L1601" s="2068"/>
      <c r="M1601" s="2068"/>
      <c r="Q1601" s="1958"/>
    </row>
    <row r="1602" spans="1:22">
      <c r="A1602" s="1311" t="s">
        <v>3928</v>
      </c>
      <c r="B1602" s="1311" t="s">
        <v>2766</v>
      </c>
      <c r="C1602" s="1311"/>
      <c r="D1602" s="457"/>
      <c r="E1602" s="2064"/>
      <c r="F1602" s="2064"/>
      <c r="G1602" s="2064"/>
      <c r="H1602" s="2064"/>
      <c r="I1602" s="1860"/>
      <c r="J1602" s="1860"/>
      <c r="K1602" s="1860"/>
      <c r="L1602" s="1860"/>
      <c r="M1602" s="1860"/>
      <c r="N1602" s="1860"/>
      <c r="O1602" s="2064" t="s">
        <v>1842</v>
      </c>
      <c r="P1602" s="1957"/>
      <c r="Q1602" s="1957"/>
    </row>
    <row r="1603" spans="1:22">
      <c r="B1603" s="457" t="s">
        <v>4715</v>
      </c>
      <c r="C1603" s="1311"/>
      <c r="D1603" s="457"/>
      <c r="E1603" s="2068"/>
      <c r="F1603" s="2068"/>
      <c r="G1603" s="2068"/>
      <c r="H1603" s="2068"/>
    </row>
    <row r="1604" spans="1:22" ht="12.75" customHeight="1">
      <c r="A1604" s="2061" t="s">
        <v>1957</v>
      </c>
      <c r="B1604" s="2064" t="s">
        <v>3791</v>
      </c>
      <c r="C1604" s="2064"/>
      <c r="D1604" s="2064"/>
      <c r="E1604" s="2064"/>
      <c r="F1604" s="2064"/>
      <c r="G1604" s="2064"/>
      <c r="H1604" s="2064"/>
      <c r="I1604" s="2064"/>
      <c r="J1604" s="2064"/>
      <c r="K1604" s="2064"/>
      <c r="L1604" s="2064"/>
      <c r="M1604" s="2064"/>
      <c r="N1604" s="2064"/>
      <c r="O1604" s="2061" t="s">
        <v>1957</v>
      </c>
      <c r="P1604" s="2061" t="str">
        <f>'Part VIII-Threshold Criteria'!P446</f>
        <v>Agree</v>
      </c>
      <c r="Q1604" s="2061"/>
      <c r="R1604" s="2006"/>
      <c r="S1604" s="2006"/>
      <c r="T1604" s="2006"/>
      <c r="U1604" s="2006"/>
      <c r="V1604" s="2006"/>
    </row>
    <row r="1605" spans="1:22" ht="12.75" customHeight="1">
      <c r="A1605" s="2095" t="s">
        <v>1959</v>
      </c>
      <c r="B1605" s="2064" t="s">
        <v>3790</v>
      </c>
      <c r="C1605" s="2064"/>
      <c r="D1605" s="2064"/>
      <c r="E1605" s="2064"/>
      <c r="F1605" s="2064"/>
      <c r="G1605" s="2064"/>
      <c r="H1605" s="2064"/>
      <c r="I1605" s="2064"/>
      <c r="J1605" s="2064"/>
      <c r="K1605" s="2064"/>
      <c r="L1605" s="2064"/>
      <c r="M1605" s="2064"/>
      <c r="N1605" s="2064"/>
      <c r="O1605" s="2095" t="s">
        <v>1959</v>
      </c>
      <c r="P1605" s="2096" t="str">
        <f>'Part VIII-Threshold Criteria'!P447</f>
        <v>Agree</v>
      </c>
      <c r="Q1605" s="2096"/>
      <c r="R1605" s="2006"/>
      <c r="S1605" s="2006"/>
      <c r="T1605" s="2006"/>
      <c r="U1605" s="2006"/>
      <c r="V1605" s="2006"/>
    </row>
    <row r="1606" spans="1:22" ht="12.75" customHeight="1">
      <c r="A1606" s="2006"/>
      <c r="B1606" s="2100" t="s">
        <v>1716</v>
      </c>
      <c r="C1606" s="2064" t="s">
        <v>4658</v>
      </c>
      <c r="D1606" s="2064"/>
      <c r="E1606" s="2064"/>
      <c r="F1606" s="2064"/>
      <c r="G1606" s="2064"/>
      <c r="H1606" s="2064"/>
      <c r="I1606" s="2064"/>
      <c r="J1606" s="2064"/>
      <c r="K1606" s="2064"/>
      <c r="L1606" s="2064"/>
      <c r="M1606" s="2064"/>
      <c r="N1606" s="2064"/>
      <c r="O1606" s="2095" t="s">
        <v>1716</v>
      </c>
      <c r="P1606" s="2061" t="str">
        <f>'Part VIII-Threshold Criteria'!P448</f>
        <v>Agree</v>
      </c>
      <c r="Q1606" s="2061"/>
      <c r="R1606" s="2006"/>
      <c r="S1606" s="2006"/>
      <c r="T1606" s="2006"/>
      <c r="U1606" s="2006"/>
      <c r="V1606" s="2006"/>
    </row>
    <row r="1607" spans="1:22">
      <c r="A1607" s="1311"/>
      <c r="B1607" s="2100" t="s">
        <v>1717</v>
      </c>
      <c r="C1607" s="457" t="s">
        <v>4659</v>
      </c>
      <c r="D1607" s="2031"/>
      <c r="E1607" s="2031"/>
      <c r="F1607" s="2031"/>
      <c r="G1607" s="2031"/>
      <c r="H1607" s="2031"/>
      <c r="I1607" s="2031"/>
      <c r="J1607" s="2031"/>
      <c r="K1607" s="2031"/>
      <c r="L1607" s="2031"/>
      <c r="M1607" s="2031"/>
      <c r="N1607" s="2031"/>
      <c r="O1607" s="2098" t="s">
        <v>1717</v>
      </c>
      <c r="P1607" s="1314" t="str">
        <f>'Part VIII-Threshold Criteria'!P449</f>
        <v>Agree</v>
      </c>
      <c r="Q1607" s="1314"/>
      <c r="R1607" s="1311"/>
      <c r="S1607" s="1311"/>
      <c r="T1607" s="1311"/>
      <c r="U1607" s="1311"/>
      <c r="V1607" s="1311"/>
    </row>
    <row r="1608" spans="1:22" ht="12.75" customHeight="1">
      <c r="A1608" s="2006"/>
      <c r="B1608" s="2061" t="s">
        <v>1718</v>
      </c>
      <c r="C1608" s="2064" t="s">
        <v>4660</v>
      </c>
      <c r="D1608" s="2064"/>
      <c r="E1608" s="2064"/>
      <c r="F1608" s="2064"/>
      <c r="G1608" s="2064"/>
      <c r="H1608" s="2064"/>
      <c r="I1608" s="2064"/>
      <c r="J1608" s="2064"/>
      <c r="K1608" s="2064"/>
      <c r="L1608" s="2064"/>
      <c r="M1608" s="2064"/>
      <c r="N1608" s="2064"/>
      <c r="O1608" s="2095" t="s">
        <v>1718</v>
      </c>
      <c r="P1608" s="2096" t="str">
        <f>'Part VIII-Threshold Criteria'!P450</f>
        <v>Agree</v>
      </c>
      <c r="Q1608" s="2096"/>
      <c r="R1608" s="2006"/>
      <c r="S1608" s="2006"/>
      <c r="T1608" s="2006"/>
      <c r="U1608" s="2006"/>
      <c r="V1608" s="2006"/>
    </row>
    <row r="1609" spans="1:22" ht="12.75" customHeight="1">
      <c r="A1609" s="2006"/>
      <c r="B1609" s="2061" t="s">
        <v>2336</v>
      </c>
      <c r="C1609" s="2064" t="s">
        <v>4661</v>
      </c>
      <c r="D1609" s="2064"/>
      <c r="E1609" s="2064"/>
      <c r="F1609" s="2064"/>
      <c r="G1609" s="2064"/>
      <c r="H1609" s="2064"/>
      <c r="I1609" s="2064"/>
      <c r="J1609" s="2064"/>
      <c r="K1609" s="2064"/>
      <c r="L1609" s="2064"/>
      <c r="M1609" s="2064"/>
      <c r="N1609" s="2064"/>
      <c r="O1609" s="2095" t="s">
        <v>2336</v>
      </c>
      <c r="P1609" s="2096" t="str">
        <f>'Part VIII-Threshold Criteria'!P451</f>
        <v>Agree</v>
      </c>
      <c r="Q1609" s="2096"/>
      <c r="R1609" s="2006"/>
      <c r="S1609" s="2006"/>
      <c r="T1609" s="2006"/>
      <c r="U1609" s="2006"/>
      <c r="V1609" s="2006"/>
    </row>
    <row r="1610" spans="1:22" ht="12.75" customHeight="1">
      <c r="A1610" s="2095" t="s">
        <v>738</v>
      </c>
      <c r="B1610" s="2064" t="s">
        <v>3792</v>
      </c>
      <c r="C1610" s="2064"/>
      <c r="D1610" s="2064"/>
      <c r="E1610" s="2064"/>
      <c r="F1610" s="2064"/>
      <c r="G1610" s="2064"/>
      <c r="H1610" s="2064"/>
      <c r="I1610" s="2064"/>
      <c r="J1610" s="2064"/>
      <c r="K1610" s="2064"/>
      <c r="L1610" s="2064"/>
      <c r="M1610" s="2064"/>
      <c r="N1610" s="2064"/>
      <c r="O1610" s="2095" t="s">
        <v>738</v>
      </c>
      <c r="P1610" s="2096" t="str">
        <f>'Part VIII-Threshold Criteria'!P452</f>
        <v>Agree</v>
      </c>
      <c r="Q1610" s="2096"/>
      <c r="R1610" s="2006"/>
      <c r="S1610" s="2006"/>
      <c r="T1610" s="2006"/>
      <c r="U1610" s="2006"/>
      <c r="V1610" s="2006"/>
    </row>
    <row r="1611" spans="1:22" ht="12.75" customHeight="1">
      <c r="A1611" s="2095" t="s">
        <v>2088</v>
      </c>
      <c r="B1611" s="2064" t="s">
        <v>3793</v>
      </c>
      <c r="C1611" s="2064"/>
      <c r="D1611" s="2064"/>
      <c r="E1611" s="2064"/>
      <c r="F1611" s="2064"/>
      <c r="G1611" s="2064"/>
      <c r="H1611" s="2064"/>
      <c r="I1611" s="2064"/>
      <c r="J1611" s="2064"/>
      <c r="K1611" s="2064"/>
      <c r="L1611" s="2064"/>
      <c r="M1611" s="2064"/>
      <c r="N1611" s="2064"/>
      <c r="O1611" s="2095" t="s">
        <v>2088</v>
      </c>
      <c r="P1611" s="2096" t="str">
        <f>'Part VIII-Threshold Criteria'!P453</f>
        <v>Agree</v>
      </c>
      <c r="Q1611" s="2096"/>
      <c r="R1611" s="2006"/>
      <c r="S1611" s="2006"/>
      <c r="T1611" s="2006"/>
      <c r="U1611" s="2006"/>
      <c r="V1611" s="2006"/>
    </row>
    <row r="1612" spans="1:22" ht="12.75" customHeight="1">
      <c r="A1612" s="2095" t="s">
        <v>1714</v>
      </c>
      <c r="B1612" s="2064" t="s">
        <v>3794</v>
      </c>
      <c r="C1612" s="2064"/>
      <c r="D1612" s="2064"/>
      <c r="E1612" s="2064"/>
      <c r="F1612" s="2064"/>
      <c r="G1612" s="2064"/>
      <c r="H1612" s="2064"/>
      <c r="I1612" s="2064"/>
      <c r="J1612" s="2064"/>
      <c r="K1612" s="2064"/>
      <c r="L1612" s="2064"/>
      <c r="M1612" s="2064"/>
      <c r="N1612" s="2064"/>
      <c r="O1612" s="2095" t="s">
        <v>1714</v>
      </c>
      <c r="P1612" s="2096" t="str">
        <f>'Part VIII-Threshold Criteria'!P454</f>
        <v>Agree</v>
      </c>
      <c r="Q1612" s="2096"/>
      <c r="R1612" s="2006"/>
      <c r="S1612" s="2006"/>
      <c r="T1612" s="2006"/>
      <c r="U1612" s="2006"/>
      <c r="V1612" s="2006"/>
    </row>
    <row r="1613" spans="1:22" ht="12.75" customHeight="1">
      <c r="A1613" s="2095" t="s">
        <v>1715</v>
      </c>
      <c r="B1613" s="2064" t="s">
        <v>3410</v>
      </c>
      <c r="C1613" s="2064"/>
      <c r="D1613" s="2064"/>
      <c r="E1613" s="2064"/>
      <c r="F1613" s="2064"/>
      <c r="G1613" s="2064"/>
      <c r="H1613" s="2064"/>
      <c r="I1613" s="2064"/>
      <c r="J1613" s="2064"/>
      <c r="K1613" s="2064"/>
      <c r="L1613" s="2064"/>
      <c r="M1613" s="2064"/>
      <c r="N1613" s="2064"/>
      <c r="O1613" s="2095" t="s">
        <v>1715</v>
      </c>
      <c r="P1613" s="2096" t="str">
        <f>'Part VIII-Threshold Criteria'!P455</f>
        <v>Agree</v>
      </c>
      <c r="Q1613" s="2096"/>
      <c r="R1613" s="2006"/>
      <c r="S1613" s="2006"/>
      <c r="T1613" s="2006"/>
      <c r="U1613" s="2006"/>
      <c r="V1613" s="2006"/>
    </row>
    <row r="1614" spans="1:22">
      <c r="B1614" s="1997" t="s">
        <v>3644</v>
      </c>
      <c r="C1614" s="1860"/>
      <c r="D1614" s="1997"/>
      <c r="E1614" s="1997"/>
      <c r="F1614" s="1997"/>
      <c r="G1614" s="1997"/>
      <c r="H1614" s="457"/>
      <c r="I1614" s="457"/>
      <c r="J1614" s="457"/>
      <c r="K1614" s="457"/>
      <c r="L1614" s="1957"/>
      <c r="M1614" s="1957"/>
      <c r="N1614" s="1957"/>
      <c r="O1614" s="1958"/>
      <c r="P1614" s="1958"/>
      <c r="Q1614" s="1958"/>
    </row>
    <row r="1615" spans="1:22" ht="40.799999999999997">
      <c r="A1615" s="2064" t="str">
        <f>'Part VIII-Threshold Criteria'!A457</f>
        <v xml:space="preserve">Applicant agrees to all requirements of AFFH. </v>
      </c>
      <c r="B1615" s="2064"/>
      <c r="C1615" s="2064"/>
      <c r="D1615" s="2064"/>
      <c r="E1615" s="2064"/>
      <c r="F1615" s="2064"/>
      <c r="G1615" s="2064"/>
      <c r="H1615" s="2064"/>
      <c r="I1615" s="2064"/>
      <c r="J1615" s="2064"/>
      <c r="K1615" s="2064"/>
      <c r="L1615" s="2064"/>
      <c r="M1615" s="2064"/>
      <c r="N1615" s="2064"/>
      <c r="O1615" s="2064"/>
      <c r="P1615" s="2064"/>
      <c r="Q1615" s="2064"/>
      <c r="R1615" s="2065" t="s">
        <v>1239</v>
      </c>
      <c r="S1615" s="2065"/>
      <c r="U1615" s="1957"/>
      <c r="V1615" s="1957"/>
    </row>
    <row r="1616" spans="1:22">
      <c r="B1616" s="2066" t="s">
        <v>1841</v>
      </c>
      <c r="C1616" s="2067"/>
      <c r="D1616" s="2064"/>
      <c r="E1616" s="2064"/>
      <c r="F1616" s="2064"/>
      <c r="G1616" s="2064"/>
      <c r="H1616" s="2064"/>
      <c r="I1616" s="2064"/>
      <c r="J1616" s="2064"/>
      <c r="K1616" s="2064"/>
      <c r="L1616" s="2064"/>
      <c r="M1616" s="2064"/>
      <c r="N1616" s="2064"/>
      <c r="O1616" s="2068"/>
      <c r="P1616" s="2068"/>
      <c r="Q1616" s="2068"/>
    </row>
    <row r="1617" spans="1:22">
      <c r="A1617" s="2064">
        <f>'Part VIII-Threshold Criteria'!A459</f>
        <v>0</v>
      </c>
      <c r="B1617" s="2064"/>
      <c r="C1617" s="2064"/>
      <c r="D1617" s="2064"/>
      <c r="E1617" s="2064"/>
      <c r="F1617" s="2064"/>
      <c r="G1617" s="2064"/>
      <c r="H1617" s="2064"/>
      <c r="I1617" s="2064"/>
      <c r="J1617" s="2064"/>
      <c r="K1617" s="2064"/>
      <c r="L1617" s="2064"/>
      <c r="M1617" s="2064"/>
      <c r="N1617" s="2064"/>
      <c r="O1617" s="2064"/>
      <c r="P1617" s="2064"/>
      <c r="Q1617" s="2064"/>
    </row>
    <row r="1618" spans="1:22">
      <c r="A1618" s="1958"/>
      <c r="B1618" s="1314"/>
      <c r="C1618" s="2068"/>
      <c r="D1618" s="2068"/>
      <c r="E1618" s="2068"/>
      <c r="F1618" s="2068"/>
      <c r="G1618" s="2068"/>
      <c r="H1618" s="2068"/>
      <c r="I1618" s="2068"/>
      <c r="J1618" s="2068"/>
      <c r="K1618" s="2068"/>
      <c r="L1618" s="2068"/>
      <c r="M1618" s="2068"/>
      <c r="Q1618" s="1958"/>
    </row>
    <row r="1619" spans="1:22" ht="14.4">
      <c r="A1619" s="1311" t="s">
        <v>4456</v>
      </c>
      <c r="B1619" s="2123"/>
      <c r="C1619" s="1311" t="s">
        <v>2680</v>
      </c>
      <c r="D1619" s="2025"/>
      <c r="E1619" s="457"/>
      <c r="F1619" s="2123"/>
      <c r="G1619" s="2123"/>
      <c r="H1619" s="2123"/>
      <c r="I1619" s="2123"/>
      <c r="J1619" s="1997"/>
      <c r="K1619" s="2123"/>
      <c r="L1619" s="2123"/>
      <c r="M1619" s="1311"/>
      <c r="N1619" s="1311"/>
      <c r="O1619" s="2064" t="s">
        <v>1842</v>
      </c>
      <c r="P1619" s="1957"/>
      <c r="Q1619" s="1957"/>
      <c r="R1619" s="1315"/>
      <c r="S1619" s="1315"/>
      <c r="T1619" s="1315"/>
      <c r="U1619" s="1315"/>
      <c r="V1619" s="1315"/>
    </row>
    <row r="1620" spans="1:22">
      <c r="A1620" s="1051"/>
      <c r="B1620" s="1051" t="s">
        <v>4464</v>
      </c>
      <c r="C1620" s="1051"/>
      <c r="D1620" s="1051"/>
      <c r="E1620" s="1051"/>
      <c r="F1620" s="1051"/>
      <c r="G1620" s="1051"/>
      <c r="H1620" s="1051"/>
      <c r="I1620" s="1051"/>
      <c r="J1620" s="1051"/>
      <c r="K1620" s="1051"/>
      <c r="L1620" s="1051"/>
      <c r="M1620" s="1051"/>
      <c r="N1620" s="1051"/>
      <c r="O1620" s="1051"/>
      <c r="P1620" s="1314" t="str">
        <f>'Part VIII-Threshold Criteria'!P462</f>
        <v>No</v>
      </c>
      <c r="Q1620" s="1314"/>
    </row>
    <row r="1621" spans="1:22">
      <c r="A1621" s="2025"/>
      <c r="B1621" s="2025" t="s">
        <v>4465</v>
      </c>
      <c r="C1621" s="2025"/>
      <c r="D1621" s="2025"/>
      <c r="E1621" s="2025"/>
      <c r="F1621" s="2025"/>
      <c r="G1621" s="2025"/>
      <c r="H1621" s="2025"/>
      <c r="I1621" s="2025"/>
      <c r="J1621" s="2025"/>
      <c r="K1621" s="2025"/>
      <c r="L1621" s="2025"/>
      <c r="M1621" s="2025"/>
      <c r="N1621" s="2025"/>
      <c r="O1621" s="2025"/>
      <c r="P1621" s="457" t="str">
        <f>'Part VIII-Threshold Criteria'!P463</f>
        <v>N/a</v>
      </c>
      <c r="Q1621" s="457"/>
    </row>
    <row r="1622" spans="1:22" ht="14.4">
      <c r="A1622" s="2098" t="s">
        <v>1957</v>
      </c>
      <c r="B1622" s="457" t="s">
        <v>4457</v>
      </c>
      <c r="C1622" s="1315"/>
      <c r="D1622" s="1311"/>
      <c r="E1622" s="1311"/>
      <c r="F1622" s="1311"/>
      <c r="G1622" s="1315"/>
      <c r="H1622" s="1315"/>
      <c r="I1622" s="1315"/>
      <c r="J1622" s="1315"/>
      <c r="K1622" s="1315"/>
      <c r="L1622" s="1315"/>
      <c r="M1622" s="1315"/>
      <c r="N1622" s="1315"/>
      <c r="O1622" s="2098" t="s">
        <v>1957</v>
      </c>
      <c r="P1622" s="1315"/>
      <c r="Q1622" s="1315"/>
      <c r="R1622" s="1315"/>
      <c r="S1622" s="1315"/>
      <c r="T1622" s="1315"/>
      <c r="U1622" s="1315"/>
      <c r="V1622" s="1315"/>
    </row>
    <row r="1623" spans="1:22" ht="15.75" customHeight="1">
      <c r="A1623" s="2095"/>
      <c r="B1623" s="2136" t="s">
        <v>1960</v>
      </c>
      <c r="C1623" s="2064" t="s">
        <v>4583</v>
      </c>
      <c r="D1623" s="2064"/>
      <c r="E1623" s="2064"/>
      <c r="F1623" s="2064"/>
      <c r="G1623" s="2064"/>
      <c r="H1623" s="2064"/>
      <c r="I1623" s="2064"/>
      <c r="J1623" s="2064"/>
      <c r="K1623" s="2031" t="s">
        <v>4710</v>
      </c>
      <c r="L1623" s="2009" t="s">
        <v>4459</v>
      </c>
      <c r="M1623" s="2122"/>
      <c r="N1623" s="1977">
        <f>ROUNDUP('Part VI-Revenues &amp; Expenses'!$O$63*0.1,0)</f>
        <v>8</v>
      </c>
      <c r="O1623" s="2137" t="s">
        <v>1960</v>
      </c>
      <c r="P1623" s="2061" t="str">
        <f>'Part VIII-Threshold Criteria'!P465</f>
        <v>Agree</v>
      </c>
      <c r="Q1623" s="2061"/>
      <c r="R1623" s="1925"/>
      <c r="S1623" s="1925"/>
      <c r="T1623" s="2138"/>
      <c r="U1623" s="2138"/>
      <c r="V1623" s="2138"/>
    </row>
    <row r="1624" spans="1:22" ht="14.4">
      <c r="A1624" s="2095"/>
      <c r="B1624" s="2136"/>
      <c r="C1624" s="2064"/>
      <c r="D1624" s="2064"/>
      <c r="E1624" s="2064"/>
      <c r="F1624" s="2064"/>
      <c r="G1624" s="2064"/>
      <c r="H1624" s="2064"/>
      <c r="I1624" s="2064"/>
      <c r="J1624" s="2064"/>
      <c r="K1624" s="2031"/>
      <c r="L1624" s="2009" t="s">
        <v>4711</v>
      </c>
      <c r="M1624" s="2122"/>
      <c r="N1624" s="1977">
        <f>'Part VI-Revenues &amp; Expenses'!$O$63</f>
        <v>71</v>
      </c>
      <c r="O1624" s="2138"/>
      <c r="P1624" s="2061">
        <f>'Part VIII-Threshold Criteria'!P466</f>
        <v>0</v>
      </c>
      <c r="Q1624" s="2061"/>
      <c r="R1624" s="1925"/>
      <c r="S1624" s="1925"/>
      <c r="T1624" s="2138"/>
      <c r="U1624" s="2138"/>
      <c r="V1624" s="2138"/>
    </row>
    <row r="1625" spans="1:22" ht="14.4">
      <c r="A1625" s="2095"/>
      <c r="B1625" s="2136"/>
      <c r="C1625" s="2064"/>
      <c r="D1625" s="2064"/>
      <c r="E1625" s="2064"/>
      <c r="F1625" s="2064"/>
      <c r="G1625" s="2064"/>
      <c r="H1625" s="2064"/>
      <c r="I1625" s="2064"/>
      <c r="J1625" s="2064"/>
      <c r="K1625" s="2139">
        <f>'Part VI-Revenues &amp; Expenses'!$O$88</f>
        <v>0</v>
      </c>
      <c r="L1625" s="2009" t="s">
        <v>4461</v>
      </c>
      <c r="M1625" s="2122"/>
      <c r="N1625" s="1977">
        <f>'Part VI-Revenues &amp; Expenses'!$O$67</f>
        <v>84</v>
      </c>
      <c r="O1625" s="2138"/>
      <c r="P1625" s="2061">
        <f>'Part VIII-Threshold Criteria'!P467</f>
        <v>0</v>
      </c>
      <c r="Q1625" s="2061"/>
      <c r="R1625" s="2138"/>
      <c r="S1625" s="2138"/>
      <c r="T1625" s="2138"/>
      <c r="U1625" s="2138"/>
      <c r="V1625" s="2138"/>
    </row>
    <row r="1626" spans="1:22" ht="12.75" customHeight="1">
      <c r="A1626" s="2025"/>
      <c r="B1626" s="2136" t="s">
        <v>1962</v>
      </c>
      <c r="C1626" s="2064" t="s">
        <v>4584</v>
      </c>
      <c r="D1626" s="2064"/>
      <c r="E1626" s="2064"/>
      <c r="F1626" s="2064"/>
      <c r="G1626" s="2064"/>
      <c r="H1626" s="2064"/>
      <c r="I1626" s="2064"/>
      <c r="J1626" s="2064"/>
      <c r="K1626" s="2064"/>
      <c r="L1626" s="2064"/>
      <c r="M1626" s="2064"/>
      <c r="N1626" s="2061"/>
      <c r="O1626" s="2137" t="s">
        <v>1962</v>
      </c>
      <c r="P1626" s="2096" t="str">
        <f>'Part VIII-Threshold Criteria'!P468</f>
        <v>Yes</v>
      </c>
      <c r="Q1626" s="2096"/>
      <c r="R1626" s="2061"/>
      <c r="S1626" s="2061"/>
      <c r="T1626" s="2061"/>
      <c r="U1626" s="2061"/>
      <c r="V1626" s="2061"/>
    </row>
    <row r="1627" spans="1:22" ht="15.75" customHeight="1">
      <c r="A1627" s="2025"/>
      <c r="B1627" s="2136" t="s">
        <v>2501</v>
      </c>
      <c r="C1627" s="2064" t="s">
        <v>4585</v>
      </c>
      <c r="D1627" s="2064"/>
      <c r="E1627" s="2064"/>
      <c r="F1627" s="2064"/>
      <c r="G1627" s="2064"/>
      <c r="H1627" s="2064"/>
      <c r="I1627" s="2064"/>
      <c r="J1627" s="2031" t="s">
        <v>4462</v>
      </c>
      <c r="K1627" s="2140">
        <f>'Part VI-Revenues &amp; Expenses'!$O$103</f>
        <v>84</v>
      </c>
      <c r="L1627" s="2009" t="s">
        <v>4460</v>
      </c>
      <c r="M1627" s="2122"/>
      <c r="N1627" s="1977">
        <f>ROUNDUP(N1625*0.1,0)</f>
        <v>9</v>
      </c>
      <c r="O1627" s="2137" t="s">
        <v>2501</v>
      </c>
      <c r="P1627" s="2061" t="str">
        <f>'Part VIII-Threshold Criteria'!P469</f>
        <v>Yes</v>
      </c>
      <c r="Q1627" s="2061"/>
      <c r="R1627" s="1925"/>
      <c r="S1627" s="1925"/>
      <c r="T1627" s="2061"/>
      <c r="U1627" s="2061"/>
      <c r="V1627" s="2061"/>
    </row>
    <row r="1628" spans="1:22">
      <c r="A1628" s="2025"/>
      <c r="B1628" s="2136"/>
      <c r="C1628" s="2064"/>
      <c r="D1628" s="2064"/>
      <c r="E1628" s="2064"/>
      <c r="F1628" s="2064"/>
      <c r="G1628" s="2064"/>
      <c r="H1628" s="2064"/>
      <c r="I1628" s="2064"/>
      <c r="J1628" s="2031" t="s">
        <v>4463</v>
      </c>
      <c r="K1628" s="2141">
        <f>IF(N1625=0,"",K1627/N1625)</f>
        <v>1</v>
      </c>
      <c r="L1628" s="2009" t="s">
        <v>4709</v>
      </c>
      <c r="M1628" s="457"/>
      <c r="N1628" s="1978">
        <f>'Part VI-Revenues &amp; Expenses'!$K$67/'Part VI-Revenues &amp; Expenses'!$O$67</f>
        <v>0.38095238095238093</v>
      </c>
      <c r="O1628" s="2137" t="str">
        <f>IF(AND(N1628&lt;0.1,P1627="Yes"), "Check!","")</f>
        <v/>
      </c>
      <c r="P1628" s="2061">
        <f>'Part VIII-Threshold Criteria'!P470</f>
        <v>0</v>
      </c>
      <c r="Q1628" s="2061"/>
      <c r="R1628" s="1925"/>
      <c r="S1628" s="1925"/>
      <c r="T1628" s="2061"/>
      <c r="U1628" s="2061"/>
      <c r="V1628" s="2061"/>
    </row>
    <row r="1629" spans="1:22" ht="14.4">
      <c r="A1629" s="2098" t="s">
        <v>1959</v>
      </c>
      <c r="B1629" s="457" t="s">
        <v>4586</v>
      </c>
      <c r="C1629" s="2123"/>
      <c r="D1629" s="457"/>
      <c r="E1629" s="2123"/>
      <c r="F1629" s="2123"/>
      <c r="G1629" s="457"/>
      <c r="H1629" s="2123"/>
      <c r="I1629" s="2123"/>
      <c r="J1629" s="2123"/>
      <c r="K1629" s="1315"/>
      <c r="L1629" s="1315"/>
      <c r="M1629" s="1955"/>
      <c r="N1629" s="1315"/>
      <c r="O1629" s="1315"/>
      <c r="P1629" s="2123"/>
      <c r="Q1629" s="2123"/>
      <c r="R1629" s="2142"/>
      <c r="S1629" s="1315"/>
      <c r="T1629" s="1315"/>
      <c r="U1629" s="1315"/>
      <c r="V1629" s="1315"/>
    </row>
    <row r="1630" spans="1:22" ht="15" customHeight="1">
      <c r="A1630" s="2095"/>
      <c r="B1630" s="2064" t="s">
        <v>4587</v>
      </c>
      <c r="C1630" s="2064"/>
      <c r="D1630" s="2064"/>
      <c r="E1630" s="2064"/>
      <c r="F1630" s="2064"/>
      <c r="G1630" s="2064"/>
      <c r="H1630" s="2064"/>
      <c r="I1630" s="2064"/>
      <c r="J1630" s="2064"/>
      <c r="K1630" s="2064"/>
      <c r="L1630" s="2064"/>
      <c r="M1630" s="2064"/>
      <c r="N1630" s="2064"/>
      <c r="O1630" s="2095" t="s">
        <v>1959</v>
      </c>
      <c r="P1630" s="2096" t="str">
        <f>'Part VIII-Threshold Criteria'!P472</f>
        <v>Disagree</v>
      </c>
      <c r="Q1630" s="2096"/>
      <c r="R1630" s="2143"/>
      <c r="S1630" s="2138"/>
      <c r="T1630" s="2138"/>
      <c r="U1630" s="2138"/>
      <c r="V1630" s="2138"/>
    </row>
    <row r="1631" spans="1:22" ht="14.4">
      <c r="A1631" s="1311"/>
      <c r="B1631" s="2010" t="s">
        <v>3644</v>
      </c>
      <c r="C1631" s="1311"/>
      <c r="D1631" s="1957"/>
      <c r="E1631" s="1957"/>
      <c r="F1631" s="1957"/>
      <c r="G1631" s="1957"/>
      <c r="H1631" s="457"/>
      <c r="I1631" s="457"/>
      <c r="J1631" s="457"/>
      <c r="K1631" s="457"/>
      <c r="L1631" s="1315"/>
      <c r="M1631" s="1955"/>
      <c r="N1631" s="1953"/>
      <c r="O1631" s="2028"/>
      <c r="P1631" s="1860"/>
      <c r="Q1631" s="2123"/>
      <c r="R1631" s="1315"/>
      <c r="S1631" s="1315"/>
      <c r="T1631" s="1315"/>
      <c r="U1631" s="1315"/>
      <c r="V1631" s="1315"/>
    </row>
    <row r="1632" spans="1:22" ht="204">
      <c r="A1632" s="2064" t="str">
        <f>'Part VIII-Threshold Criteria'!A474</f>
        <v xml:space="preserve">The applicant agrees to accept Section 811 PBRA or other DCA offered rental assistance for up to 10% of the units for the purpose of providing Integrated Supportive Housing opportunities for persons with disabilities. </v>
      </c>
      <c r="B1632" s="2064"/>
      <c r="C1632" s="2064"/>
      <c r="D1632" s="2064"/>
      <c r="E1632" s="2064"/>
      <c r="F1632" s="2064"/>
      <c r="G1632" s="2064"/>
      <c r="H1632" s="2064"/>
      <c r="I1632" s="2064"/>
      <c r="J1632" s="2064"/>
      <c r="K1632" s="2064"/>
      <c r="L1632" s="2064"/>
      <c r="M1632" s="2064"/>
      <c r="N1632" s="2064"/>
      <c r="O1632" s="2064"/>
      <c r="P1632" s="2064"/>
      <c r="Q1632" s="2064"/>
      <c r="R1632" s="2065" t="s">
        <v>1239</v>
      </c>
      <c r="S1632" s="1315"/>
      <c r="T1632" s="1315"/>
      <c r="U1632" s="1315"/>
      <c r="V1632" s="1315"/>
    </row>
    <row r="1633" spans="1:22" ht="14.4">
      <c r="A1633" s="1315"/>
      <c r="B1633" s="2066" t="s">
        <v>1841</v>
      </c>
      <c r="C1633" s="1311"/>
      <c r="D1633" s="2066"/>
      <c r="E1633" s="2068"/>
      <c r="F1633" s="2068"/>
      <c r="G1633" s="2068"/>
      <c r="H1633" s="2068"/>
      <c r="I1633" s="2068"/>
      <c r="J1633" s="2068"/>
      <c r="K1633" s="2068"/>
      <c r="L1633" s="2068"/>
      <c r="M1633" s="2068"/>
      <c r="N1633" s="2144"/>
      <c r="O1633" s="2144"/>
      <c r="P1633" s="1955"/>
      <c r="Q1633" s="2123"/>
      <c r="R1633" s="1315"/>
      <c r="S1633" s="1315"/>
      <c r="T1633" s="1315"/>
      <c r="U1633" s="1315"/>
      <c r="V1633" s="1315"/>
    </row>
    <row r="1634" spans="1:22" ht="14.4">
      <c r="A1634" s="2064">
        <f>'Part VIII-Threshold Criteria'!A476</f>
        <v>0</v>
      </c>
      <c r="B1634" s="2064"/>
      <c r="C1634" s="2064"/>
      <c r="D1634" s="2064"/>
      <c r="E1634" s="2064"/>
      <c r="F1634" s="2064"/>
      <c r="G1634" s="2064"/>
      <c r="H1634" s="2064"/>
      <c r="I1634" s="2064"/>
      <c r="J1634" s="2064"/>
      <c r="K1634" s="2064"/>
      <c r="L1634" s="2064"/>
      <c r="M1634" s="2064"/>
      <c r="N1634" s="2064"/>
      <c r="O1634" s="2064"/>
      <c r="P1634" s="2064"/>
      <c r="Q1634" s="2064"/>
      <c r="R1634" s="1315"/>
      <c r="S1634" s="1315"/>
      <c r="T1634" s="1315"/>
      <c r="U1634" s="1315"/>
      <c r="V1634" s="1315"/>
    </row>
    <row r="1635" spans="1:22">
      <c r="A1635" s="1958"/>
      <c r="B1635" s="457"/>
      <c r="C1635" s="2064"/>
      <c r="D1635" s="2064"/>
      <c r="E1635" s="2064"/>
      <c r="F1635" s="2064"/>
      <c r="G1635" s="2064"/>
      <c r="H1635" s="2064"/>
      <c r="I1635" s="2064"/>
      <c r="J1635" s="2064"/>
      <c r="K1635" s="2064"/>
      <c r="L1635" s="2064"/>
      <c r="M1635" s="2064"/>
      <c r="N1635" s="2064"/>
      <c r="O1635" s="2068"/>
      <c r="P1635" s="2068"/>
      <c r="Q1635" s="1958"/>
    </row>
    <row r="1636" spans="1:22">
      <c r="A1636" s="1949" t="s">
        <v>4458</v>
      </c>
      <c r="B1636" s="1311"/>
      <c r="C1636" s="1311" t="s">
        <v>2633</v>
      </c>
      <c r="D1636" s="457"/>
      <c r="E1636" s="2068"/>
      <c r="F1636" s="2068"/>
      <c r="G1636" s="2068"/>
      <c r="H1636" s="2068"/>
      <c r="I1636" s="2068"/>
      <c r="J1636" s="2068"/>
      <c r="K1636" s="2068"/>
      <c r="L1636" s="2068"/>
      <c r="M1636" s="2068"/>
      <c r="O1636" s="2062" t="s">
        <v>1842</v>
      </c>
      <c r="P1636" s="1957"/>
      <c r="Q1636" s="1957"/>
    </row>
    <row r="1637" spans="1:22">
      <c r="A1637" s="1311"/>
      <c r="B1637" s="1997" t="s">
        <v>3644</v>
      </c>
      <c r="C1637" s="1860"/>
      <c r="D1637" s="1997"/>
      <c r="E1637" s="1997"/>
      <c r="F1637" s="1997"/>
      <c r="G1637" s="1997"/>
      <c r="H1637" s="457"/>
      <c r="I1637" s="457"/>
      <c r="J1637" s="457"/>
      <c r="K1637" s="457"/>
      <c r="L1637" s="1957"/>
      <c r="M1637" s="1957"/>
      <c r="N1637" s="1957"/>
      <c r="O1637" s="1957"/>
      <c r="P1637" s="1957"/>
      <c r="Q1637" s="1957"/>
    </row>
    <row r="1638" spans="1:22" ht="142.80000000000001">
      <c r="A1638" s="2064" t="str">
        <f>'Part VIII-Threshold Criteria'!A480</f>
        <v>The owners will ensure the complete, effective, efficient, and lawful utilization of the low income housing tax credits if awarded by DCA.</v>
      </c>
      <c r="B1638" s="2064"/>
      <c r="C1638" s="2064"/>
      <c r="D1638" s="2064"/>
      <c r="E1638" s="2064"/>
      <c r="F1638" s="2064"/>
      <c r="G1638" s="2064"/>
      <c r="H1638" s="2064"/>
      <c r="I1638" s="2064"/>
      <c r="J1638" s="2064"/>
      <c r="K1638" s="2064"/>
      <c r="L1638" s="2064"/>
      <c r="M1638" s="2064"/>
      <c r="N1638" s="2064"/>
      <c r="O1638" s="2064"/>
      <c r="P1638" s="2064"/>
      <c r="Q1638" s="2064"/>
      <c r="R1638" s="2065" t="s">
        <v>1239</v>
      </c>
      <c r="S1638" s="2065"/>
      <c r="U1638" s="1957"/>
      <c r="V1638" s="1957"/>
    </row>
    <row r="1639" spans="1:22">
      <c r="A1639" s="1860"/>
      <c r="B1639" s="2066" t="s">
        <v>1841</v>
      </c>
      <c r="C1639" s="2067"/>
      <c r="D1639" s="2064"/>
      <c r="E1639" s="2064"/>
      <c r="F1639" s="2064"/>
      <c r="G1639" s="2064"/>
      <c r="H1639" s="2064"/>
      <c r="I1639" s="2064"/>
      <c r="J1639" s="2064"/>
      <c r="K1639" s="2064"/>
      <c r="L1639" s="2064"/>
      <c r="M1639" s="2064"/>
      <c r="N1639" s="2064"/>
      <c r="O1639" s="2064"/>
      <c r="P1639" s="2064"/>
      <c r="Q1639" s="2064"/>
    </row>
    <row r="1640" spans="1:22">
      <c r="A1640" s="2064">
        <f>'Part VIII-Threshold Criteria'!A482</f>
        <v>0</v>
      </c>
      <c r="B1640" s="2064"/>
      <c r="C1640" s="2064"/>
      <c r="D1640" s="2064"/>
      <c r="E1640" s="2064"/>
      <c r="F1640" s="2064"/>
      <c r="G1640" s="2064"/>
      <c r="H1640" s="2064"/>
      <c r="I1640" s="2064"/>
      <c r="J1640" s="2064"/>
      <c r="K1640" s="2064"/>
      <c r="L1640" s="2064"/>
      <c r="M1640" s="2064"/>
      <c r="N1640" s="2064"/>
      <c r="O1640" s="2064"/>
      <c r="P1640" s="2064"/>
      <c r="Q1640" s="2064"/>
    </row>
    <row r="1641" spans="1:22">
      <c r="A1641" s="1958"/>
      <c r="B1641" s="1314"/>
      <c r="C1641" s="2068"/>
      <c r="D1641" s="2068"/>
      <c r="E1641" s="2068"/>
      <c r="F1641" s="2068"/>
      <c r="G1641" s="2068"/>
      <c r="H1641" s="2068"/>
      <c r="I1641" s="2068"/>
      <c r="J1641" s="2068"/>
      <c r="K1641" s="2068"/>
      <c r="L1641" s="2068"/>
      <c r="M1641" s="2068"/>
      <c r="N1641" s="2068"/>
      <c r="O1641" s="2068"/>
      <c r="P1641" s="2064"/>
      <c r="Q1641" s="1957"/>
    </row>
    <row r="1642" spans="1:22">
      <c r="A1642" s="1958"/>
      <c r="B1642" s="1314"/>
      <c r="C1642" s="2068"/>
      <c r="D1642" s="2068"/>
      <c r="E1642" s="2068"/>
      <c r="F1642" s="2068"/>
      <c r="G1642" s="2068"/>
      <c r="H1642" s="2068"/>
      <c r="I1642" s="2068"/>
      <c r="J1642" s="2068"/>
      <c r="K1642" s="2068"/>
      <c r="L1642" s="2068"/>
      <c r="M1642" s="2068"/>
      <c r="N1642" s="2068"/>
      <c r="O1642" s="2068"/>
      <c r="P1642" s="2068"/>
      <c r="Q1642" s="1958"/>
    </row>
    <row r="1643" spans="1:22">
      <c r="A1643" s="1311" t="s">
        <v>4466</v>
      </c>
      <c r="B1643" s="1311"/>
      <c r="C1643" s="1311" t="s">
        <v>4635</v>
      </c>
      <c r="D1643" s="457"/>
      <c r="E1643" s="2064"/>
      <c r="F1643" s="2064"/>
      <c r="G1643" s="2064"/>
      <c r="H1643" s="2064"/>
      <c r="I1643" s="2064"/>
      <c r="J1643" s="2064"/>
      <c r="K1643" s="2064"/>
      <c r="L1643" s="2064"/>
      <c r="M1643" s="2064"/>
      <c r="N1643" s="1860"/>
      <c r="O1643" s="2064" t="s">
        <v>1842</v>
      </c>
      <c r="P1643" s="1957"/>
      <c r="Q1643" s="1957"/>
    </row>
    <row r="1644" spans="1:22" ht="18">
      <c r="A1644" s="2122"/>
      <c r="B1644" s="2145" t="s">
        <v>4467</v>
      </c>
      <c r="C1644" s="2122"/>
      <c r="D1644" s="2010"/>
      <c r="E1644" s="2010"/>
      <c r="F1644" s="2131"/>
      <c r="H1644" s="2122"/>
      <c r="I1644" s="2122"/>
      <c r="J1644" s="2122"/>
      <c r="K1644" s="2122"/>
      <c r="L1644" s="2142"/>
      <c r="M1644" s="2142"/>
      <c r="N1644" s="2142"/>
      <c r="O1644" s="2142"/>
      <c r="P1644" s="2142"/>
      <c r="Q1644" s="2142"/>
      <c r="R1644" s="2142"/>
      <c r="S1644" s="2122"/>
      <c r="T1644" s="2146"/>
      <c r="U1644" s="2146"/>
      <c r="V1644" s="2122"/>
    </row>
    <row r="1645" spans="1:22" ht="18">
      <c r="A1645" s="1957"/>
      <c r="B1645" s="457" t="s">
        <v>4588</v>
      </c>
      <c r="C1645" s="2122"/>
      <c r="D1645" s="1997"/>
      <c r="E1645" s="1997"/>
      <c r="F1645" s="2131"/>
      <c r="G1645" s="1860"/>
      <c r="H1645" s="2122"/>
      <c r="I1645" s="2122"/>
      <c r="J1645" s="2122"/>
      <c r="K1645" s="457"/>
      <c r="L1645" s="2122"/>
      <c r="M1645" s="1311"/>
      <c r="N1645" s="457"/>
      <c r="O1645" s="2122"/>
      <c r="P1645" s="457">
        <f>'Part VIII-Threshold Criteria'!P487</f>
        <v>0</v>
      </c>
      <c r="Q1645" s="457"/>
      <c r="R1645" s="2011"/>
      <c r="S1645" s="2122"/>
      <c r="T1645" s="2146"/>
      <c r="U1645" s="2146"/>
      <c r="V1645" s="2122"/>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860"/>
      <c r="Q1648" s="1860"/>
    </row>
    <row r="1649" spans="1:24" ht="15">
      <c r="A1649" s="1311" t="str">
        <f>CONCATENATE("PART NINE - SCORING CRITERIA","  -  ",'Part I-Project Information'!$O$6," ",'Part I-Project Information'!$F$34,", ",'Part I-Project Information'!F1686,", ",'Part I-Project Information'!J1687," County")</f>
        <v>PART NINE - SCORING CRITERIA  -  2019-063 Haven at South Atlanta, ,  County</v>
      </c>
      <c r="B1649" s="1311"/>
      <c r="C1649" s="1311"/>
      <c r="D1649" s="1311"/>
      <c r="E1649" s="1311"/>
      <c r="F1649" s="1311"/>
      <c r="G1649" s="1311"/>
      <c r="H1649" s="1311"/>
      <c r="I1649" s="1311"/>
      <c r="J1649" s="1311"/>
      <c r="K1649" s="1311"/>
      <c r="L1649" s="1311"/>
      <c r="M1649" s="1311"/>
      <c r="N1649" s="1311"/>
      <c r="O1649" s="1311"/>
      <c r="P1649" s="1311"/>
      <c r="Q1649" s="2147"/>
      <c r="R1649" s="2147"/>
      <c r="S1649" s="2147"/>
    </row>
    <row r="1650" spans="1:24" ht="15">
      <c r="A1650" s="457"/>
      <c r="B1650" s="457"/>
      <c r="C1650" s="2148"/>
      <c r="D1650" s="457"/>
      <c r="E1650" s="457"/>
      <c r="F1650" s="457"/>
      <c r="G1650" s="457"/>
      <c r="H1650" s="457"/>
      <c r="I1650" s="457"/>
      <c r="J1650" s="457"/>
      <c r="K1650" s="457"/>
      <c r="L1650" s="457"/>
      <c r="M1650" s="1314"/>
      <c r="N1650" s="1955"/>
      <c r="O1650" s="1955"/>
      <c r="P1650" s="1955"/>
      <c r="Q1650" s="2147"/>
      <c r="R1650" s="2147"/>
      <c r="S1650" s="2147"/>
    </row>
    <row r="1651" spans="1:24" ht="15" customHeight="1">
      <c r="A1651" s="1925" t="s">
        <v>5063</v>
      </c>
      <c r="B1651" s="1925"/>
      <c r="C1651" s="1925"/>
      <c r="D1651" s="1925"/>
      <c r="E1651" s="1925"/>
      <c r="F1651" s="1925"/>
      <c r="G1651" s="1925"/>
      <c r="H1651" s="1925"/>
      <c r="I1651" s="1925"/>
      <c r="J1651" s="1925"/>
      <c r="K1651" s="1925"/>
      <c r="L1651" s="1925"/>
      <c r="M1651" s="1967" t="s">
        <v>2191</v>
      </c>
      <c r="N1651" s="1955"/>
      <c r="O1651" s="1955" t="s">
        <v>2190</v>
      </c>
      <c r="P1651" s="1955" t="s">
        <v>253</v>
      </c>
      <c r="Q1651" s="2147"/>
      <c r="R1651" s="2147"/>
      <c r="S1651" s="2147"/>
      <c r="T1651" s="1311"/>
      <c r="U1651" s="1311"/>
      <c r="V1651" s="1311"/>
      <c r="W1651" s="1311"/>
      <c r="X1651" s="1311"/>
    </row>
    <row r="1652" spans="1:24" ht="15">
      <c r="A1652" s="1925"/>
      <c r="B1652" s="1925"/>
      <c r="C1652" s="1925"/>
      <c r="D1652" s="1925"/>
      <c r="E1652" s="1925"/>
      <c r="F1652" s="1925"/>
      <c r="G1652" s="1925"/>
      <c r="H1652" s="1925"/>
      <c r="I1652" s="1925"/>
      <c r="J1652" s="1925"/>
      <c r="K1652" s="1925"/>
      <c r="L1652" s="1925"/>
      <c r="M1652" s="1967" t="s">
        <v>91</v>
      </c>
      <c r="N1652" s="1311"/>
      <c r="O1652" s="1955" t="s">
        <v>2191</v>
      </c>
      <c r="P1652" s="1955" t="s">
        <v>2191</v>
      </c>
      <c r="Q1652" s="2147"/>
      <c r="R1652" s="2147"/>
      <c r="S1652" s="2147"/>
      <c r="T1652" s="1311"/>
      <c r="U1652" s="1311"/>
      <c r="V1652" s="1311"/>
      <c r="W1652" s="2131"/>
      <c r="X1652" s="2131"/>
    </row>
    <row r="1653" spans="1:24" ht="15">
      <c r="A1653" s="1311"/>
      <c r="B1653" s="1311"/>
      <c r="C1653" s="1311"/>
      <c r="D1653" s="1311"/>
      <c r="E1653" s="1311"/>
      <c r="F1653" s="1311"/>
      <c r="G1653" s="1311"/>
      <c r="H1653" s="1311"/>
      <c r="I1653" s="1311"/>
      <c r="J1653" s="1311"/>
      <c r="K1653" s="1311"/>
      <c r="L1653" s="2131"/>
      <c r="M1653" s="2149"/>
      <c r="N1653" s="1311"/>
      <c r="O1653" s="1955"/>
      <c r="P1653" s="1953"/>
      <c r="Q1653" s="2147"/>
      <c r="R1653" s="2147"/>
      <c r="S1653" s="2147"/>
      <c r="T1653" s="2131"/>
      <c r="U1653" s="2131"/>
      <c r="V1653" s="2131"/>
      <c r="W1653" s="2131"/>
      <c r="X1653" s="2131"/>
    </row>
    <row r="1654" spans="1:24" ht="15">
      <c r="A1654" s="1311"/>
      <c r="B1654" s="1859" t="str">
        <f>'Part I-Project Information'!$B$6</f>
        <v>May 2019</v>
      </c>
      <c r="C1654" s="1859"/>
      <c r="D1654" s="1859"/>
      <c r="E1654" s="1859"/>
      <c r="F1654" s="1859"/>
      <c r="G1654" s="1311"/>
      <c r="H1654" s="1311"/>
      <c r="I1654" s="1311"/>
      <c r="J1654" s="1311"/>
      <c r="K1654" s="2131"/>
      <c r="L1654" s="2150" t="s">
        <v>1211</v>
      </c>
      <c r="M1654" s="2028">
        <f>M2096</f>
        <v>92</v>
      </c>
      <c r="N1654" s="2028"/>
      <c r="O1654" s="2028">
        <f>O2096</f>
        <v>56</v>
      </c>
      <c r="P1654" s="2028">
        <f>P2096</f>
        <v>20</v>
      </c>
      <c r="Q1654" s="2147"/>
      <c r="R1654" s="2147"/>
      <c r="S1654" s="2147"/>
      <c r="T1654" s="2131"/>
      <c r="U1654" s="2131"/>
      <c r="V1654" s="2131"/>
      <c r="W1654" s="2131"/>
      <c r="X1654" s="2131"/>
    </row>
    <row r="1655" spans="1:24" ht="14.4">
      <c r="A1655" s="1311"/>
      <c r="B1655" s="2098"/>
      <c r="C1655" s="457"/>
      <c r="D1655" s="1957"/>
      <c r="E1655" s="1957"/>
      <c r="F1655" s="1957"/>
      <c r="G1655" s="1957"/>
      <c r="H1655" s="1957"/>
      <c r="I1655" s="1957"/>
      <c r="J1655" s="1957"/>
      <c r="K1655" s="1957"/>
      <c r="L1655" s="1311"/>
      <c r="M1655" s="1955"/>
      <c r="N1655" s="1953"/>
      <c r="O1655" s="2028"/>
      <c r="P1655" s="1955"/>
      <c r="Q1655" s="1315"/>
      <c r="R1655" s="1311"/>
      <c r="S1655" s="1311"/>
      <c r="T1655" s="1315"/>
      <c r="U1655" s="1315"/>
      <c r="V1655" s="1315"/>
      <c r="W1655" s="1315"/>
      <c r="X1655" s="1315"/>
    </row>
    <row r="1656" spans="1:24" ht="20.399999999999999">
      <c r="A1656" s="2151" t="s">
        <v>4476</v>
      </c>
      <c r="B1656" s="1311"/>
      <c r="C1656" s="1311"/>
      <c r="D1656" s="457"/>
      <c r="E1656" s="457"/>
      <c r="F1656" s="457"/>
      <c r="G1656" s="1997"/>
      <c r="H1656" s="1786" t="s">
        <v>5064</v>
      </c>
      <c r="I1656" s="1997"/>
      <c r="J1656" s="1997"/>
      <c r="K1656" s="1997"/>
      <c r="L1656" s="1997"/>
      <c r="M1656" s="2152" t="s">
        <v>5065</v>
      </c>
      <c r="N1656" s="1997"/>
      <c r="O1656" s="1965">
        <f>'Part IX Scoring Criteria'!O8</f>
        <v>0</v>
      </c>
      <c r="P1656" s="1955">
        <f>IF(P1658&lt;2,0,IF(AND(P1658&gt;1,P1658&lt;5),1,IF(P1658&gt;4,P1658-3)))</f>
        <v>0</v>
      </c>
      <c r="Q1656" s="457" t="s">
        <v>5066</v>
      </c>
      <c r="R1656" s="2153"/>
      <c r="S1656" s="2063"/>
      <c r="T1656" s="1311"/>
      <c r="U1656" s="1311"/>
      <c r="V1656" s="1311"/>
      <c r="W1656" s="1311"/>
      <c r="X1656" s="1311"/>
    </row>
    <row r="1657" spans="1:24" ht="14.4">
      <c r="A1657" s="1311"/>
      <c r="B1657" s="2098"/>
      <c r="C1657" s="457"/>
      <c r="D1657" s="1957"/>
      <c r="E1657" s="1957"/>
      <c r="F1657" s="1957"/>
      <c r="G1657" s="1957"/>
      <c r="H1657" s="1957"/>
      <c r="I1657" s="1957"/>
      <c r="J1657" s="1957"/>
      <c r="K1657" s="1957"/>
      <c r="L1657" s="1311"/>
      <c r="M1657" s="1955"/>
      <c r="N1657" s="1953"/>
      <c r="O1657" s="2028"/>
      <c r="P1657" s="1955"/>
      <c r="Q1657" s="1315"/>
      <c r="R1657" s="1311"/>
      <c r="S1657" s="1311"/>
      <c r="T1657" s="1315"/>
      <c r="U1657" s="1315"/>
      <c r="V1657" s="1315"/>
      <c r="W1657" s="1315"/>
      <c r="X1657" s="1315"/>
    </row>
    <row r="1658" spans="1:24" ht="13.5" customHeight="1">
      <c r="A1658" s="2037" t="s">
        <v>3950</v>
      </c>
      <c r="B1658" s="2037" t="s">
        <v>3951</v>
      </c>
      <c r="C1658" s="457"/>
      <c r="D1658" s="457"/>
      <c r="E1658" s="2037" t="s">
        <v>3971</v>
      </c>
      <c r="F1658" s="2037" t="s">
        <v>3970</v>
      </c>
      <c r="G1658" s="2037"/>
      <c r="H1658" s="2037"/>
      <c r="I1658" s="2037"/>
      <c r="J1658" s="2037"/>
      <c r="K1658" s="2037"/>
      <c r="L1658" s="2037"/>
      <c r="M1658" s="2037"/>
      <c r="N1658" s="2037"/>
      <c r="O1658" s="2154" t="s">
        <v>4474</v>
      </c>
      <c r="P1658" s="1314">
        <f>SUM(P1659:P1668)</f>
        <v>0</v>
      </c>
      <c r="Q1658" s="2031" t="s">
        <v>5067</v>
      </c>
      <c r="R1658" s="2031"/>
      <c r="S1658" s="2031"/>
      <c r="T1658" s="2031"/>
      <c r="U1658" s="2031"/>
      <c r="V1658" s="2031"/>
      <c r="W1658" s="1311"/>
      <c r="X1658" s="1311"/>
    </row>
    <row r="1659" spans="1:24">
      <c r="A1659" s="2155" t="s">
        <v>731</v>
      </c>
      <c r="B1659" s="2156" t="s">
        <v>3952</v>
      </c>
      <c r="C1659" s="1852"/>
      <c r="D1659" s="1852"/>
      <c r="E1659" s="2157" t="str">
        <f>$O$61</f>
        <v>0067.00</v>
      </c>
      <c r="F1659" s="2069">
        <f>$A$67</f>
        <v>0</v>
      </c>
      <c r="G1659" s="2069"/>
      <c r="H1659" s="2069"/>
      <c r="I1659" s="2069"/>
      <c r="J1659" s="2069"/>
      <c r="K1659" s="2069"/>
      <c r="L1659" s="2069"/>
      <c r="M1659" s="2069"/>
      <c r="N1659" s="2069"/>
      <c r="O1659" s="2069"/>
      <c r="P1659" s="2144"/>
      <c r="Q1659" s="2031"/>
      <c r="R1659" s="2031"/>
      <c r="S1659" s="2031"/>
      <c r="T1659" s="2031"/>
      <c r="U1659" s="2031"/>
      <c r="V1659" s="2031"/>
      <c r="W1659" s="1311"/>
      <c r="X1659" s="1311"/>
    </row>
    <row r="1660" spans="1:24" ht="12.75" customHeight="1">
      <c r="A1660" s="2155" t="s">
        <v>522</v>
      </c>
      <c r="B1660" s="2156" t="s">
        <v>3953</v>
      </c>
      <c r="C1660" s="1852"/>
      <c r="D1660" s="1852"/>
      <c r="E1660" s="2157">
        <f>$O$153</f>
        <v>0</v>
      </c>
      <c r="F1660" s="2069">
        <f>$A$185</f>
        <v>0</v>
      </c>
      <c r="G1660" s="2069"/>
      <c r="H1660" s="2069"/>
      <c r="I1660" s="2069"/>
      <c r="J1660" s="2069"/>
      <c r="K1660" s="2069"/>
      <c r="L1660" s="2069"/>
      <c r="M1660" s="2069"/>
      <c r="N1660" s="2069"/>
      <c r="O1660" s="2069"/>
      <c r="P1660" s="2144"/>
      <c r="Q1660" s="1878" t="str">
        <f>IF(OR($A$67="",$A$302="",$A$185="",$A$224="",$A$273="",$A$325="",$A$365="",$A$380="",$A$416="",$A$436=""),"Some Applicant Scoring Justification boxes are empty! Check to see if points claimed.","")</f>
        <v>Some Applicant Scoring Justification boxes are empty! Check to see if points claimed.</v>
      </c>
      <c r="R1660" s="1878"/>
      <c r="S1660" s="1878"/>
      <c r="T1660" s="1311"/>
      <c r="U1660" s="1311"/>
      <c r="V1660" s="1311"/>
      <c r="W1660" s="1311"/>
      <c r="X1660" s="1311"/>
    </row>
    <row r="1661" spans="1:24" ht="12.75" customHeight="1">
      <c r="A1661" s="2155" t="s">
        <v>761</v>
      </c>
      <c r="B1661" s="2156" t="s">
        <v>3954</v>
      </c>
      <c r="C1661" s="1852"/>
      <c r="D1661" s="1852"/>
      <c r="E1661" s="2157">
        <f>$O$189</f>
        <v>0</v>
      </c>
      <c r="F1661" s="2069">
        <f>$A$224</f>
        <v>0</v>
      </c>
      <c r="G1661" s="2069"/>
      <c r="H1661" s="2069"/>
      <c r="I1661" s="2069"/>
      <c r="J1661" s="2069"/>
      <c r="K1661" s="2069"/>
      <c r="L1661" s="2069"/>
      <c r="M1661" s="2069"/>
      <c r="N1661" s="2069"/>
      <c r="O1661" s="2069"/>
      <c r="P1661" s="2144"/>
      <c r="Q1661" s="1878"/>
      <c r="R1661" s="1878"/>
      <c r="S1661" s="1878"/>
      <c r="T1661" s="1311"/>
      <c r="U1661" s="1311"/>
      <c r="V1661" s="1311"/>
      <c r="W1661" s="1311"/>
      <c r="X1661" s="1311"/>
    </row>
    <row r="1662" spans="1:24" ht="12.75" customHeight="1">
      <c r="A1662" s="2155" t="s">
        <v>289</v>
      </c>
      <c r="B1662" s="2156" t="s">
        <v>3955</v>
      </c>
      <c r="C1662" s="1852"/>
      <c r="D1662" s="1852"/>
      <c r="E1662" s="2158" t="s">
        <v>1712</v>
      </c>
      <c r="F1662" s="2069">
        <f>$A$273</f>
        <v>0</v>
      </c>
      <c r="G1662" s="2069"/>
      <c r="H1662" s="2069"/>
      <c r="I1662" s="2069"/>
      <c r="J1662" s="2069"/>
      <c r="K1662" s="2069"/>
      <c r="L1662" s="2069"/>
      <c r="M1662" s="2069"/>
      <c r="N1662" s="2069"/>
      <c r="O1662" s="2069"/>
      <c r="P1662" s="2144"/>
      <c r="Q1662" s="1878"/>
      <c r="R1662" s="1878"/>
      <c r="S1662" s="1878"/>
      <c r="T1662" s="1311"/>
      <c r="U1662" s="1311"/>
      <c r="V1662" s="1311"/>
      <c r="W1662" s="1311"/>
      <c r="X1662" s="1311"/>
    </row>
    <row r="1663" spans="1:24" ht="12.75" customHeight="1">
      <c r="A1663" s="2155" t="s">
        <v>359</v>
      </c>
      <c r="B1663" s="2156" t="s">
        <v>3676</v>
      </c>
      <c r="C1663" s="1852"/>
      <c r="D1663" s="1852"/>
      <c r="E1663" s="2157" t="str">
        <f>$O$298</f>
        <v>Name of Principal</v>
      </c>
      <c r="F1663" s="2069">
        <f>$A$302</f>
        <v>0</v>
      </c>
      <c r="G1663" s="2069"/>
      <c r="H1663" s="2069"/>
      <c r="I1663" s="2069"/>
      <c r="J1663" s="2069"/>
      <c r="K1663" s="2069"/>
      <c r="L1663" s="2069"/>
      <c r="M1663" s="2069"/>
      <c r="N1663" s="2069"/>
      <c r="O1663" s="2069"/>
      <c r="P1663" s="2144"/>
      <c r="Q1663" s="1878"/>
      <c r="R1663" s="1878"/>
      <c r="S1663" s="1878"/>
      <c r="T1663" s="1311"/>
      <c r="U1663" s="1311"/>
      <c r="V1663" s="1311"/>
      <c r="W1663" s="1311"/>
      <c r="X1663" s="1311"/>
    </row>
    <row r="1664" spans="1:24" ht="12.75" customHeight="1">
      <c r="A1664" s="2155" t="s">
        <v>4566</v>
      </c>
      <c r="B1664" s="2156" t="s">
        <v>4247</v>
      </c>
      <c r="C1664" s="1852"/>
      <c r="D1664" s="1852"/>
      <c r="E1664" s="2158" t="str">
        <f>$O$306</f>
        <v>Direct Line</v>
      </c>
      <c r="F1664" s="2069">
        <f>$A$325</f>
        <v>0</v>
      </c>
      <c r="G1664" s="2069"/>
      <c r="H1664" s="2069"/>
      <c r="I1664" s="2069"/>
      <c r="J1664" s="2069"/>
      <c r="K1664" s="2069"/>
      <c r="L1664" s="2069"/>
      <c r="M1664" s="2069"/>
      <c r="N1664" s="2069"/>
      <c r="O1664" s="2069"/>
      <c r="P1664" s="2144"/>
      <c r="Q1664" s="1878"/>
      <c r="R1664" s="1878"/>
      <c r="S1664" s="1878"/>
      <c r="T1664" s="1311"/>
      <c r="U1664" s="1311"/>
      <c r="V1664" s="1311"/>
      <c r="W1664" s="1311"/>
      <c r="X1664" s="1311"/>
    </row>
    <row r="1665" spans="1:24" ht="12.75" customHeight="1">
      <c r="A1665" s="2155" t="s">
        <v>2736</v>
      </c>
      <c r="B1665" s="2156" t="s">
        <v>3956</v>
      </c>
      <c r="C1665" s="1852"/>
      <c r="D1665" s="1852"/>
      <c r="E1665" s="2158">
        <f>$O$359</f>
        <v>0</v>
      </c>
      <c r="F1665" s="2069" t="str">
        <f>$A$365</f>
        <v>Co-Developer 2</v>
      </c>
      <c r="G1665" s="2069"/>
      <c r="H1665" s="2069"/>
      <c r="I1665" s="2069"/>
      <c r="J1665" s="2069"/>
      <c r="K1665" s="2069"/>
      <c r="L1665" s="2069"/>
      <c r="M1665" s="2069"/>
      <c r="N1665" s="2069"/>
      <c r="O1665" s="2069"/>
      <c r="P1665" s="2144"/>
      <c r="Q1665" s="1878"/>
      <c r="R1665" s="1878"/>
      <c r="S1665" s="1878"/>
      <c r="T1665" s="1311"/>
      <c r="U1665" s="1311"/>
      <c r="V1665" s="1311"/>
      <c r="W1665" s="1311"/>
      <c r="X1665" s="1311"/>
    </row>
    <row r="1666" spans="1:24" ht="12.75" customHeight="1">
      <c r="A1666" s="2155" t="s">
        <v>2223</v>
      </c>
      <c r="B1666" s="2156" t="s">
        <v>3957</v>
      </c>
      <c r="C1666" s="1852"/>
      <c r="D1666" s="1852"/>
      <c r="E1666" s="2157">
        <f>O2017</f>
        <v>0</v>
      </c>
      <c r="F1666" s="2069" t="str">
        <f>$A$380</f>
        <v>I.</v>
      </c>
      <c r="G1666" s="2069"/>
      <c r="H1666" s="2069"/>
      <c r="I1666" s="2069"/>
      <c r="J1666" s="2069"/>
      <c r="K1666" s="2069"/>
      <c r="L1666" s="2069"/>
      <c r="M1666" s="2069"/>
      <c r="N1666" s="2069"/>
      <c r="O1666" s="2069"/>
      <c r="P1666" s="2144"/>
      <c r="Q1666" s="1878"/>
      <c r="R1666" s="1878"/>
      <c r="S1666" s="1878"/>
      <c r="T1666" s="1311"/>
      <c r="U1666" s="1311"/>
      <c r="V1666" s="1311"/>
      <c r="W1666" s="1311"/>
      <c r="X1666" s="1311"/>
    </row>
    <row r="1667" spans="1:24" ht="12.75" customHeight="1">
      <c r="A1667" s="2155" t="s">
        <v>3917</v>
      </c>
      <c r="B1667" s="2156" t="s">
        <v>3958</v>
      </c>
      <c r="C1667" s="1852"/>
      <c r="D1667" s="1852"/>
      <c r="E1667" s="2157">
        <f>$O$384</f>
        <v>0</v>
      </c>
      <c r="F1667" s="2069">
        <f>$A$416</f>
        <v>0</v>
      </c>
      <c r="G1667" s="2069"/>
      <c r="H1667" s="2069"/>
      <c r="I1667" s="2069"/>
      <c r="J1667" s="2069"/>
      <c r="K1667" s="2069"/>
      <c r="L1667" s="2069"/>
      <c r="M1667" s="2069"/>
      <c r="N1667" s="2069"/>
      <c r="O1667" s="2069"/>
      <c r="P1667" s="2144"/>
      <c r="Q1667" s="1878"/>
      <c r="R1667" s="1878"/>
      <c r="S1667" s="1878"/>
      <c r="T1667" s="1311"/>
      <c r="U1667" s="1311"/>
      <c r="V1667" s="1311"/>
      <c r="W1667" s="1311"/>
      <c r="X1667" s="1311"/>
    </row>
    <row r="1668" spans="1:24" ht="12.75" customHeight="1">
      <c r="A1668" s="2155" t="s">
        <v>3918</v>
      </c>
      <c r="B1668" s="2156" t="s">
        <v>3959</v>
      </c>
      <c r="C1668" s="1852"/>
      <c r="D1668" s="1852"/>
      <c r="E1668" s="2158">
        <f>$O$420</f>
        <v>0</v>
      </c>
      <c r="F1668" s="2069">
        <f>$A$436</f>
        <v>0</v>
      </c>
      <c r="G1668" s="2069"/>
      <c r="H1668" s="2069"/>
      <c r="I1668" s="2069"/>
      <c r="J1668" s="2069"/>
      <c r="K1668" s="2069"/>
      <c r="L1668" s="2069"/>
      <c r="M1668" s="2069"/>
      <c r="N1668" s="2069"/>
      <c r="O1668" s="2069"/>
      <c r="P1668" s="2144"/>
      <c r="Q1668" s="1878"/>
      <c r="R1668" s="1878"/>
      <c r="S1668" s="1878"/>
      <c r="T1668" s="1311"/>
      <c r="U1668" s="1311"/>
      <c r="V1668" s="1311"/>
      <c r="W1668" s="1311"/>
      <c r="X1668" s="1311"/>
    </row>
    <row r="1669" spans="1:24" ht="14.4">
      <c r="A1669" s="1311"/>
      <c r="B1669" s="2098"/>
      <c r="C1669" s="457"/>
      <c r="D1669" s="1957"/>
      <c r="E1669" s="1957"/>
      <c r="F1669" s="1957"/>
      <c r="G1669" s="1957"/>
      <c r="H1669" s="1957"/>
      <c r="I1669" s="1957"/>
      <c r="J1669" s="1957"/>
      <c r="K1669" s="1957"/>
      <c r="L1669" s="1311"/>
      <c r="M1669" s="1955"/>
      <c r="N1669" s="1953"/>
      <c r="O1669" s="2028"/>
      <c r="P1669" s="1955"/>
      <c r="Q1669" s="1315"/>
      <c r="R1669" s="1311"/>
      <c r="S1669" s="1311"/>
      <c r="T1669" s="1315"/>
      <c r="U1669" s="1315"/>
      <c r="V1669" s="1315"/>
      <c r="W1669" s="1315"/>
      <c r="X1669" s="1315"/>
    </row>
    <row r="1670" spans="1:24">
      <c r="A1670" s="2159" t="s">
        <v>605</v>
      </c>
      <c r="B1670" s="1995" t="s">
        <v>2738</v>
      </c>
      <c r="C1670" s="1311"/>
      <c r="D1670" s="1311"/>
      <c r="E1670" s="1311"/>
      <c r="F1670" s="1314"/>
      <c r="G1670" s="1311"/>
      <c r="H1670" s="1786" t="s">
        <v>5068</v>
      </c>
      <c r="I1670" s="1311"/>
      <c r="J1670" s="1311"/>
      <c r="K1670" s="1311"/>
      <c r="L1670" s="1311"/>
      <c r="M1670" s="1955">
        <v>10</v>
      </c>
      <c r="N1670" s="2160"/>
      <c r="O1670" s="2028">
        <f>'Part IX Scoring Criteria'!O22</f>
        <v>10</v>
      </c>
      <c r="P1670" s="2028">
        <f>MIN($M1670, $M1670-P1673-P1678-P1674)</f>
        <v>10</v>
      </c>
      <c r="Q1670" s="1955" t="s">
        <v>437</v>
      </c>
      <c r="R1670" s="1311"/>
      <c r="S1670" s="1311"/>
      <c r="T1670" s="1311"/>
      <c r="U1670" s="1311"/>
      <c r="V1670" s="1311"/>
      <c r="W1670" s="1311"/>
      <c r="X1670" s="1311"/>
    </row>
    <row r="1671" spans="1:24" ht="14.4">
      <c r="A1671" s="1311"/>
      <c r="B1671" s="2098"/>
      <c r="C1671" s="457"/>
      <c r="D1671" s="1957"/>
      <c r="E1671" s="1957"/>
      <c r="F1671" s="1957"/>
      <c r="G1671" s="1957"/>
      <c r="H1671" s="1957"/>
      <c r="I1671" s="1957"/>
      <c r="J1671" s="1957"/>
      <c r="K1671" s="1957"/>
      <c r="L1671" s="1311"/>
      <c r="M1671" s="1955"/>
      <c r="N1671" s="1953"/>
      <c r="O1671" s="2028"/>
      <c r="P1671" s="1955"/>
      <c r="Q1671" s="1315"/>
      <c r="R1671" s="1311"/>
      <c r="S1671" s="1311"/>
      <c r="T1671" s="1315"/>
      <c r="U1671" s="1315"/>
      <c r="V1671" s="1315"/>
      <c r="W1671" s="1315"/>
      <c r="X1671" s="1315"/>
    </row>
    <row r="1672" spans="1:24">
      <c r="A1672" s="1981" t="s">
        <v>1957</v>
      </c>
      <c r="B1672" s="1957" t="s">
        <v>4469</v>
      </c>
      <c r="C1672" s="1311"/>
      <c r="D1672" s="1957"/>
      <c r="E1672" s="1957"/>
      <c r="F1672" s="1314"/>
      <c r="G1672" s="1311"/>
      <c r="H1672" s="1311"/>
      <c r="I1672" s="1311"/>
      <c r="J1672" s="1311"/>
      <c r="K1672" s="1311"/>
      <c r="L1672" s="1311"/>
      <c r="M1672" s="1955"/>
      <c r="N1672" s="2098" t="s">
        <v>1957</v>
      </c>
      <c r="O1672" s="1311"/>
      <c r="P1672" s="1311"/>
      <c r="Q1672" s="1311"/>
      <c r="R1672" s="1311"/>
      <c r="S1672" s="1311"/>
      <c r="T1672" s="1311"/>
      <c r="U1672" s="1311"/>
      <c r="V1672" s="1311"/>
      <c r="W1672" s="1311"/>
      <c r="X1672" s="1311"/>
    </row>
    <row r="1673" spans="1:24" ht="14.4">
      <c r="A1673" s="1981"/>
      <c r="B1673" s="2161" t="s">
        <v>1960</v>
      </c>
      <c r="C1673" s="1957" t="s">
        <v>4472</v>
      </c>
      <c r="D1673" s="1957"/>
      <c r="E1673" s="1957"/>
      <c r="F1673" s="1314"/>
      <c r="G1673" s="1315"/>
      <c r="H1673" s="1786" t="s">
        <v>3554</v>
      </c>
      <c r="I1673" s="1315"/>
      <c r="J1673" s="1997"/>
      <c r="K1673" s="1315"/>
      <c r="L1673" s="1315"/>
      <c r="M1673" s="1955"/>
      <c r="N1673" s="2137" t="s">
        <v>1960</v>
      </c>
      <c r="O1673" s="1965">
        <f>'Part IX Scoring Criteria'!O25</f>
        <v>0</v>
      </c>
      <c r="P1673" s="1965">
        <f>F1681</f>
        <v>0</v>
      </c>
      <c r="Q1673" s="1315"/>
      <c r="R1673" s="1315"/>
      <c r="S1673" s="1315"/>
      <c r="T1673" s="1315"/>
      <c r="U1673" s="1315"/>
      <c r="V1673" s="1315"/>
      <c r="W1673" s="1315"/>
      <c r="X1673" s="1315"/>
    </row>
    <row r="1674" spans="1:24" ht="14.4">
      <c r="A1674" s="1981"/>
      <c r="B1674" s="2161" t="s">
        <v>1962</v>
      </c>
      <c r="C1674" s="1957" t="s">
        <v>5069</v>
      </c>
      <c r="D1674" s="1957"/>
      <c r="E1674" s="1957"/>
      <c r="F1674" s="1314"/>
      <c r="G1674" s="1315"/>
      <c r="H1674" s="1786" t="s">
        <v>4470</v>
      </c>
      <c r="I1674" s="1315"/>
      <c r="J1674" s="1997"/>
      <c r="K1674" s="1315"/>
      <c r="L1674" s="1315"/>
      <c r="M1674" s="1955"/>
      <c r="N1674" s="2137" t="s">
        <v>1962</v>
      </c>
      <c r="O1674" s="1965">
        <f>'Part IX Scoring Criteria'!O26</f>
        <v>0</v>
      </c>
      <c r="P1674" s="1965">
        <f>J1681</f>
        <v>0</v>
      </c>
      <c r="Q1674" s="1315"/>
      <c r="R1674" s="1315"/>
      <c r="S1674" s="1315"/>
      <c r="T1674" s="1315"/>
      <c r="U1674" s="1315"/>
      <c r="V1674" s="1315"/>
      <c r="W1674" s="1315"/>
      <c r="X1674" s="1315"/>
    </row>
    <row r="1675" spans="1:24" ht="14.4">
      <c r="A1675" s="1981"/>
      <c r="B1675" s="2161" t="s">
        <v>2501</v>
      </c>
      <c r="C1675" s="1957" t="s">
        <v>4471</v>
      </c>
      <c r="D1675" s="1957"/>
      <c r="E1675" s="1957"/>
      <c r="F1675" s="1314"/>
      <c r="G1675" s="1315"/>
      <c r="H1675" s="1786" t="s">
        <v>4475</v>
      </c>
      <c r="I1675" s="1315"/>
      <c r="J1675" s="1997"/>
      <c r="K1675" s="1315"/>
      <c r="L1675" s="1315"/>
      <c r="M1675" s="1955"/>
      <c r="N1675" s="2137" t="s">
        <v>2501</v>
      </c>
      <c r="O1675" s="1965">
        <f>'Part IX Scoring Criteria'!O27</f>
        <v>0</v>
      </c>
      <c r="P1675" s="1965"/>
      <c r="Q1675" s="1315"/>
      <c r="R1675" s="1315"/>
      <c r="S1675" s="1315"/>
      <c r="T1675" s="1315"/>
      <c r="U1675" s="1315"/>
      <c r="V1675" s="1315"/>
      <c r="W1675" s="1315"/>
      <c r="X1675" s="1315"/>
    </row>
    <row r="1676" spans="1:24" ht="15.75" customHeight="1">
      <c r="A1676" s="1315"/>
      <c r="B1676" s="1315"/>
      <c r="C1676" s="1852" t="s">
        <v>4786</v>
      </c>
      <c r="D1676" s="1852"/>
      <c r="E1676" s="1852"/>
      <c r="F1676" s="1852"/>
      <c r="G1676" s="1852"/>
      <c r="H1676" s="1852"/>
      <c r="I1676" s="1852"/>
      <c r="J1676" s="1852"/>
      <c r="K1676" s="1852"/>
      <c r="L1676" s="1852"/>
      <c r="M1676" s="1852"/>
      <c r="N1676" s="1852"/>
      <c r="O1676" s="1852"/>
      <c r="P1676" s="1852"/>
      <c r="Q1676" s="2065"/>
      <c r="R1676" s="2065"/>
      <c r="S1676" s="1315"/>
      <c r="T1676" s="1315"/>
      <c r="U1676" s="1315"/>
      <c r="V1676" s="1315"/>
      <c r="W1676" s="1315"/>
      <c r="X1676" s="1315"/>
    </row>
    <row r="1677" spans="1:24" ht="14.4">
      <c r="A1677" s="1314"/>
      <c r="B1677" s="2162"/>
      <c r="C1677" s="2163"/>
      <c r="D1677" s="2061"/>
      <c r="E1677" s="2123"/>
      <c r="F1677" s="2123"/>
      <c r="G1677" s="2123"/>
      <c r="H1677" s="2123"/>
      <c r="I1677" s="2123"/>
      <c r="J1677" s="2123"/>
      <c r="K1677" s="2106"/>
      <c r="L1677" s="2106"/>
      <c r="M1677" s="1958"/>
      <c r="N1677" s="2137"/>
      <c r="O1677" s="2164"/>
      <c r="P1677" s="2164"/>
      <c r="Q1677" s="2123"/>
      <c r="R1677" s="2123"/>
      <c r="S1677" s="2123"/>
      <c r="T1677" s="2123"/>
      <c r="U1677" s="2123"/>
      <c r="V1677" s="2123"/>
      <c r="W1677" s="2123"/>
      <c r="X1677" s="2123"/>
    </row>
    <row r="1678" spans="1:24">
      <c r="A1678" s="1981" t="s">
        <v>1959</v>
      </c>
      <c r="B1678" s="1957" t="s">
        <v>715</v>
      </c>
      <c r="C1678" s="1311"/>
      <c r="D1678" s="1957"/>
      <c r="E1678" s="1957"/>
      <c r="F1678" s="1314"/>
      <c r="G1678" s="1311"/>
      <c r="H1678" s="1786" t="s">
        <v>5070</v>
      </c>
      <c r="I1678" s="1311"/>
      <c r="J1678" s="1997"/>
      <c r="K1678" s="1311"/>
      <c r="L1678" s="1311"/>
      <c r="M1678" s="1955"/>
      <c r="N1678" s="2098" t="s">
        <v>1959</v>
      </c>
      <c r="O1678" s="1965">
        <f>'Part IX Scoring Criteria'!O30</f>
        <v>0</v>
      </c>
      <c r="P1678" s="1965">
        <f>O1681</f>
        <v>0</v>
      </c>
      <c r="Q1678" s="1311"/>
      <c r="R1678" s="1311"/>
      <c r="S1678" s="1311"/>
      <c r="T1678" s="1311"/>
      <c r="U1678" s="1311"/>
      <c r="V1678" s="1311"/>
      <c r="W1678" s="1311"/>
      <c r="X1678" s="1311"/>
    </row>
    <row r="1679" spans="1:24" ht="14.4">
      <c r="A1679" s="1314"/>
      <c r="B1679" s="2162"/>
      <c r="C1679" s="2163"/>
      <c r="D1679" s="2061"/>
      <c r="E1679" s="2123"/>
      <c r="F1679" s="2123"/>
      <c r="G1679" s="2123"/>
      <c r="H1679" s="2123"/>
      <c r="I1679" s="2123"/>
      <c r="J1679" s="2123"/>
      <c r="K1679" s="2106"/>
      <c r="L1679" s="2106"/>
      <c r="M1679" s="1958"/>
      <c r="N1679" s="2137"/>
      <c r="O1679" s="2164"/>
      <c r="P1679" s="2164"/>
      <c r="Q1679" s="2123"/>
      <c r="R1679" s="2123"/>
      <c r="S1679" s="2123"/>
      <c r="T1679" s="2123"/>
      <c r="U1679" s="2123"/>
      <c r="V1679" s="2123"/>
      <c r="W1679" s="2123"/>
      <c r="X1679" s="2123"/>
    </row>
    <row r="1680" spans="1:24" ht="20.25" customHeight="1">
      <c r="A1680" s="1795" t="s">
        <v>4681</v>
      </c>
      <c r="B1680" s="1795"/>
      <c r="C1680" s="1795"/>
      <c r="D1680" s="1795"/>
      <c r="E1680" s="1795"/>
      <c r="F1680" s="2113" t="s">
        <v>3949</v>
      </c>
      <c r="G1680" s="2031" t="s">
        <v>4682</v>
      </c>
      <c r="H1680" s="2031"/>
      <c r="I1680" s="2031"/>
      <c r="J1680" s="2113" t="s">
        <v>3949</v>
      </c>
      <c r="K1680" s="2025" t="s">
        <v>4468</v>
      </c>
      <c r="L1680" s="2025"/>
      <c r="M1680" s="2025"/>
      <c r="N1680" s="2025"/>
      <c r="O1680" s="1786" t="s">
        <v>3949</v>
      </c>
      <c r="P1680" s="1786"/>
      <c r="Q1680" s="1311"/>
      <c r="R1680" s="2153"/>
      <c r="S1680" s="2063"/>
      <c r="T1680" s="1311"/>
      <c r="U1680" s="1311"/>
      <c r="V1680" s="1311"/>
      <c r="W1680" s="1311"/>
      <c r="X1680" s="1311"/>
    </row>
    <row r="1681" spans="1:24" ht="20.399999999999999">
      <c r="A1681" s="1795"/>
      <c r="B1681" s="1795"/>
      <c r="C1681" s="1795"/>
      <c r="D1681" s="1795"/>
      <c r="E1681" s="1795"/>
      <c r="F1681" s="1955">
        <f>SUM(F1682:F1693)</f>
        <v>0</v>
      </c>
      <c r="G1681" s="2031"/>
      <c r="H1681" s="2031"/>
      <c r="I1681" s="2031"/>
      <c r="J1681" s="1955">
        <f>SUM(J1682:J1693)</f>
        <v>0</v>
      </c>
      <c r="K1681" s="2025"/>
      <c r="L1681" s="2025"/>
      <c r="M1681" s="2025"/>
      <c r="N1681" s="2025"/>
      <c r="O1681" s="1311">
        <f>SUM(O1682:O1693)</f>
        <v>0</v>
      </c>
      <c r="P1681" s="1311"/>
      <c r="Q1681" s="2153"/>
      <c r="R1681" s="2063"/>
      <c r="S1681" s="1311"/>
      <c r="T1681" s="1311"/>
      <c r="U1681" s="1311"/>
      <c r="V1681" s="1311"/>
      <c r="W1681" s="1311"/>
      <c r="X1681" s="1311"/>
    </row>
    <row r="1682" spans="1:24" ht="20.399999999999999">
      <c r="A1682" s="1852">
        <v>1</v>
      </c>
      <c r="B1682" s="1852"/>
      <c r="C1682" s="1852"/>
      <c r="D1682" s="1852"/>
      <c r="E1682" s="1852"/>
      <c r="F1682" s="2144"/>
      <c r="G1682" s="1852">
        <v>1</v>
      </c>
      <c r="H1682" s="1852"/>
      <c r="I1682" s="1852"/>
      <c r="J1682" s="2158" t="s">
        <v>1712</v>
      </c>
      <c r="K1682" s="1852">
        <v>1</v>
      </c>
      <c r="L1682" s="1852"/>
      <c r="M1682" s="1852"/>
      <c r="N1682" s="1852"/>
      <c r="O1682" s="2064" t="s">
        <v>1712</v>
      </c>
      <c r="P1682" s="2064"/>
      <c r="Q1682" s="2065" t="s">
        <v>1239</v>
      </c>
      <c r="R1682" s="2063"/>
      <c r="S1682" s="1311"/>
      <c r="T1682" s="1311"/>
      <c r="U1682" s="1311"/>
      <c r="V1682" s="1311"/>
      <c r="W1682" s="1311"/>
      <c r="X1682" s="1311"/>
    </row>
    <row r="1683" spans="1:24" ht="20.399999999999999">
      <c r="A1683" s="1852">
        <v>2</v>
      </c>
      <c r="B1683" s="1852"/>
      <c r="C1683" s="1852"/>
      <c r="D1683" s="1852"/>
      <c r="E1683" s="1852"/>
      <c r="F1683" s="2144"/>
      <c r="G1683" s="1852">
        <v>2</v>
      </c>
      <c r="H1683" s="1852"/>
      <c r="I1683" s="1852"/>
      <c r="J1683" s="2144"/>
      <c r="K1683" s="1852">
        <v>2</v>
      </c>
      <c r="L1683" s="1852"/>
      <c r="M1683" s="1852"/>
      <c r="N1683" s="1852"/>
      <c r="O1683" s="1979"/>
      <c r="P1683" s="1979"/>
      <c r="Q1683" s="2065"/>
      <c r="R1683" s="2063"/>
      <c r="S1683" s="1311"/>
      <c r="T1683" s="1311"/>
      <c r="U1683" s="1311"/>
      <c r="V1683" s="1311"/>
      <c r="W1683" s="1311"/>
      <c r="X1683" s="1311"/>
    </row>
    <row r="1684" spans="1:24" ht="25.5" customHeight="1">
      <c r="A1684" s="1852">
        <v>3</v>
      </c>
      <c r="B1684" s="1852"/>
      <c r="C1684" s="1852"/>
      <c r="D1684" s="1852"/>
      <c r="E1684" s="1852"/>
      <c r="F1684" s="2144"/>
      <c r="G1684" s="1852">
        <v>3</v>
      </c>
      <c r="H1684" s="1852"/>
      <c r="I1684" s="1852"/>
      <c r="J1684" s="2165" t="s">
        <v>2848</v>
      </c>
      <c r="K1684" s="1852">
        <v>3</v>
      </c>
      <c r="L1684" s="1852"/>
      <c r="M1684" s="1852"/>
      <c r="N1684" s="1852"/>
      <c r="O1684" s="2064" t="s">
        <v>2848</v>
      </c>
      <c r="P1684" s="2064"/>
      <c r="Q1684" s="1785" t="s">
        <v>5071</v>
      </c>
      <c r="R1684" s="1785"/>
      <c r="S1684" s="2031"/>
      <c r="T1684" s="2031"/>
      <c r="U1684" s="1311"/>
      <c r="V1684" s="1311"/>
      <c r="W1684" s="1311"/>
      <c r="X1684" s="1311"/>
    </row>
    <row r="1685" spans="1:24" ht="12.75" customHeight="1">
      <c r="A1685" s="1852">
        <v>4</v>
      </c>
      <c r="B1685" s="1852"/>
      <c r="C1685" s="1852"/>
      <c r="D1685" s="1852"/>
      <c r="E1685" s="1852"/>
      <c r="F1685" s="2144"/>
      <c r="G1685" s="1852">
        <v>4</v>
      </c>
      <c r="H1685" s="1852"/>
      <c r="I1685" s="1852"/>
      <c r="J1685" s="2144"/>
      <c r="K1685" s="1852">
        <v>4</v>
      </c>
      <c r="L1685" s="1852"/>
      <c r="M1685" s="1852"/>
      <c r="N1685" s="1852"/>
      <c r="O1685" s="2064" t="s">
        <v>2848</v>
      </c>
      <c r="P1685" s="2064"/>
      <c r="Q1685" s="1785"/>
      <c r="R1685" s="1785"/>
      <c r="S1685" s="2031"/>
      <c r="T1685" s="2031"/>
      <c r="U1685" s="1311"/>
      <c r="V1685" s="1311"/>
      <c r="W1685" s="1311"/>
      <c r="X1685" s="1311"/>
    </row>
    <row r="1686" spans="1:24">
      <c r="A1686" s="1852">
        <v>5</v>
      </c>
      <c r="B1686" s="1852"/>
      <c r="C1686" s="1852"/>
      <c r="D1686" s="1852"/>
      <c r="E1686" s="1852"/>
      <c r="F1686" s="2144"/>
      <c r="G1686" s="1852">
        <v>5</v>
      </c>
      <c r="H1686" s="1852"/>
      <c r="I1686" s="1852"/>
      <c r="J1686" s="2165" t="s">
        <v>3511</v>
      </c>
      <c r="K1686" s="1852">
        <v>5</v>
      </c>
      <c r="L1686" s="1852"/>
      <c r="M1686" s="1852"/>
      <c r="N1686" s="1852"/>
      <c r="O1686" s="1979"/>
      <c r="P1686" s="1979"/>
      <c r="Q1686" s="1785"/>
      <c r="R1686" s="1785"/>
      <c r="S1686" s="2031"/>
      <c r="T1686" s="2031"/>
      <c r="U1686" s="1311"/>
      <c r="V1686" s="1311"/>
      <c r="W1686" s="1311"/>
      <c r="X1686" s="1311"/>
    </row>
    <row r="1687" spans="1:24">
      <c r="A1687" s="1852">
        <v>6</v>
      </c>
      <c r="B1687" s="1852"/>
      <c r="C1687" s="1852"/>
      <c r="D1687" s="1852"/>
      <c r="E1687" s="1852"/>
      <c r="F1687" s="2144"/>
      <c r="G1687" s="1852">
        <v>6</v>
      </c>
      <c r="H1687" s="1852"/>
      <c r="I1687" s="1852"/>
      <c r="J1687" s="2144"/>
      <c r="K1687" s="1852">
        <v>6</v>
      </c>
      <c r="L1687" s="1852"/>
      <c r="M1687" s="1852"/>
      <c r="N1687" s="1852"/>
      <c r="O1687" s="1979"/>
      <c r="P1687" s="1979"/>
      <c r="Q1687" s="1785"/>
      <c r="R1687" s="1785"/>
      <c r="S1687" s="1311"/>
      <c r="T1687" s="1311"/>
      <c r="U1687" s="1311"/>
      <c r="V1687" s="1311"/>
      <c r="W1687" s="1311"/>
      <c r="X1687" s="1311"/>
    </row>
    <row r="1688" spans="1:24" ht="20.399999999999999">
      <c r="A1688" s="1852">
        <v>7</v>
      </c>
      <c r="B1688" s="1852"/>
      <c r="C1688" s="1852"/>
      <c r="D1688" s="1852"/>
      <c r="E1688" s="1852"/>
      <c r="F1688" s="2144"/>
      <c r="G1688" s="1852">
        <v>7</v>
      </c>
      <c r="H1688" s="1852"/>
      <c r="I1688" s="1852"/>
      <c r="J1688" s="2165" t="s">
        <v>3512</v>
      </c>
      <c r="K1688" s="1852">
        <v>7</v>
      </c>
      <c r="L1688" s="1852"/>
      <c r="M1688" s="1852"/>
      <c r="N1688" s="1852"/>
      <c r="O1688" s="1979"/>
      <c r="P1688" s="1979"/>
      <c r="Q1688" s="2063"/>
      <c r="R1688" s="2063"/>
      <c r="S1688" s="1311"/>
      <c r="T1688" s="1311"/>
      <c r="U1688" s="1311"/>
      <c r="V1688" s="1311"/>
      <c r="W1688" s="1311"/>
      <c r="X1688" s="1311"/>
    </row>
    <row r="1689" spans="1:24" ht="20.399999999999999">
      <c r="A1689" s="1852">
        <v>8</v>
      </c>
      <c r="B1689" s="1852"/>
      <c r="C1689" s="1852"/>
      <c r="D1689" s="1852"/>
      <c r="E1689" s="1852"/>
      <c r="F1689" s="2144"/>
      <c r="G1689" s="1852">
        <v>8</v>
      </c>
      <c r="H1689" s="1852"/>
      <c r="I1689" s="1852"/>
      <c r="J1689" s="2144"/>
      <c r="K1689" s="1852">
        <v>8</v>
      </c>
      <c r="L1689" s="1852"/>
      <c r="M1689" s="1852"/>
      <c r="N1689" s="1852"/>
      <c r="O1689" s="1979"/>
      <c r="P1689" s="1979"/>
      <c r="Q1689" s="2063"/>
      <c r="R1689" s="2063"/>
      <c r="S1689" s="1311"/>
      <c r="T1689" s="1311"/>
      <c r="U1689" s="1311"/>
      <c r="V1689" s="1311"/>
      <c r="W1689" s="1311"/>
      <c r="X1689" s="1311"/>
    </row>
    <row r="1690" spans="1:24" ht="20.399999999999999">
      <c r="A1690" s="1852">
        <v>9</v>
      </c>
      <c r="B1690" s="1852"/>
      <c r="C1690" s="1852"/>
      <c r="D1690" s="1852"/>
      <c r="E1690" s="1852"/>
      <c r="F1690" s="2144"/>
      <c r="G1690" s="1852">
        <v>9</v>
      </c>
      <c r="H1690" s="1852"/>
      <c r="I1690" s="1852"/>
      <c r="J1690" s="2165" t="s">
        <v>3513</v>
      </c>
      <c r="K1690" s="1852">
        <v>9</v>
      </c>
      <c r="L1690" s="1852"/>
      <c r="M1690" s="1852"/>
      <c r="N1690" s="1852"/>
      <c r="O1690" s="1979"/>
      <c r="P1690" s="1979"/>
      <c r="Q1690" s="2063"/>
      <c r="R1690" s="2063"/>
      <c r="S1690" s="1311"/>
      <c r="T1690" s="1311"/>
      <c r="U1690" s="1311"/>
      <c r="V1690" s="1311"/>
      <c r="W1690" s="1311"/>
      <c r="X1690" s="1311"/>
    </row>
    <row r="1691" spans="1:24" ht="20.399999999999999">
      <c r="A1691" s="1852">
        <v>10</v>
      </c>
      <c r="B1691" s="1852"/>
      <c r="C1691" s="1852"/>
      <c r="D1691" s="1852"/>
      <c r="E1691" s="1852"/>
      <c r="F1691" s="2144"/>
      <c r="G1691" s="1852">
        <v>10</v>
      </c>
      <c r="H1691" s="1852"/>
      <c r="I1691" s="1852"/>
      <c r="J1691" s="2144"/>
      <c r="K1691" s="1852">
        <v>10</v>
      </c>
      <c r="L1691" s="1852"/>
      <c r="M1691" s="1852"/>
      <c r="N1691" s="1852"/>
      <c r="O1691" s="1979"/>
      <c r="P1691" s="1979"/>
      <c r="Q1691" s="2063"/>
      <c r="R1691" s="1311"/>
      <c r="S1691" s="1311"/>
      <c r="T1691" s="1311"/>
      <c r="U1691" s="1311"/>
      <c r="V1691" s="1311"/>
      <c r="W1691" s="1311"/>
      <c r="X1691" s="1311"/>
    </row>
    <row r="1692" spans="1:24" ht="20.399999999999999">
      <c r="A1692" s="1852">
        <v>11</v>
      </c>
      <c r="B1692" s="1852"/>
      <c r="C1692" s="1852"/>
      <c r="D1692" s="1852"/>
      <c r="E1692" s="1852"/>
      <c r="F1692" s="2144"/>
      <c r="G1692" s="1852">
        <v>11</v>
      </c>
      <c r="H1692" s="1852"/>
      <c r="I1692" s="1852"/>
      <c r="J1692" s="2165" t="s">
        <v>3514</v>
      </c>
      <c r="K1692" s="1852">
        <v>11</v>
      </c>
      <c r="L1692" s="1852"/>
      <c r="M1692" s="1852"/>
      <c r="N1692" s="1852"/>
      <c r="O1692" s="1979"/>
      <c r="P1692" s="1979"/>
      <c r="Q1692" s="2063"/>
      <c r="R1692" s="2063"/>
      <c r="S1692" s="1311"/>
      <c r="T1692" s="1311"/>
      <c r="U1692" s="1311"/>
      <c r="V1692" s="1311"/>
      <c r="W1692" s="1311"/>
      <c r="X1692" s="1311"/>
    </row>
    <row r="1693" spans="1:24">
      <c r="A1693" s="1852">
        <v>12</v>
      </c>
      <c r="B1693" s="1852"/>
      <c r="C1693" s="1852"/>
      <c r="D1693" s="1852"/>
      <c r="E1693" s="1852"/>
      <c r="F1693" s="2144"/>
      <c r="G1693" s="1852">
        <v>12</v>
      </c>
      <c r="H1693" s="1852"/>
      <c r="I1693" s="1852"/>
      <c r="J1693" s="2144"/>
      <c r="K1693" s="1852">
        <v>12</v>
      </c>
      <c r="L1693" s="1852"/>
      <c r="M1693" s="1852"/>
      <c r="N1693" s="1852"/>
      <c r="O1693" s="1979"/>
      <c r="P1693" s="1979"/>
      <c r="Q1693" s="1311"/>
      <c r="R1693" s="1311"/>
      <c r="S1693" s="1311"/>
      <c r="T1693" s="1311"/>
      <c r="U1693" s="1311"/>
      <c r="V1693" s="1311"/>
      <c r="W1693" s="1311"/>
      <c r="X1693" s="1311"/>
    </row>
    <row r="1694" spans="1:24" ht="14.4">
      <c r="A1694" s="1315"/>
      <c r="B1694" s="1315"/>
      <c r="C1694" s="1315"/>
      <c r="D1694" s="457"/>
      <c r="E1694" s="457"/>
      <c r="F1694" s="1955"/>
      <c r="G1694" s="1955"/>
      <c r="H1694" s="1955"/>
      <c r="I1694" s="1955"/>
      <c r="J1694" s="2009"/>
      <c r="K1694" s="2009"/>
      <c r="L1694" s="2009"/>
      <c r="M1694" s="1314"/>
      <c r="N1694" s="1955"/>
      <c r="O1694" s="1953"/>
      <c r="P1694" s="2028"/>
      <c r="Q1694" s="1315"/>
      <c r="R1694" s="1315"/>
      <c r="S1694" s="1315"/>
      <c r="T1694" s="1315"/>
      <c r="U1694" s="1315"/>
      <c r="V1694" s="1315"/>
      <c r="W1694" s="1315"/>
      <c r="X1694" s="1315"/>
    </row>
    <row r="1695" spans="1:24" ht="14.4">
      <c r="A1695" s="2159" t="s">
        <v>729</v>
      </c>
      <c r="B1695" s="1995" t="s">
        <v>3515</v>
      </c>
      <c r="C1695" s="2122"/>
      <c r="D1695" s="2122"/>
      <c r="E1695" s="457"/>
      <c r="F1695" s="2122"/>
      <c r="G1695" s="457"/>
      <c r="H1695" s="457"/>
      <c r="I1695" s="1997" t="s">
        <v>3419</v>
      </c>
      <c r="J1695" s="2122"/>
      <c r="K1695" s="2122"/>
      <c r="L1695" s="2122"/>
      <c r="M1695" s="1955">
        <v>3</v>
      </c>
      <c r="N1695" s="1955"/>
      <c r="O1695" s="2028">
        <f>'Part IX Scoring Criteria'!O47</f>
        <v>2</v>
      </c>
      <c r="P1695" s="2028">
        <f>IF(AND(P1699&gt;0,P1703&gt;0),"AorB?",MIN($M$47,P1699+P1703))</f>
        <v>0</v>
      </c>
      <c r="Q1695" s="1955" t="s">
        <v>437</v>
      </c>
      <c r="R1695" s="2142" t="str">
        <f>IF(OR($O1695=$M1695,$O1695=0,$O1695=""),"","* * Check Score! * *")</f>
        <v>* * Check Score! * *</v>
      </c>
      <c r="S1695" s="2122"/>
      <c r="T1695" s="2122"/>
      <c r="U1695" s="2122"/>
      <c r="V1695" s="2122"/>
      <c r="W1695" s="2122"/>
      <c r="X1695" s="2122"/>
    </row>
    <row r="1696" spans="1:24" ht="14.4">
      <c r="A1696" s="2166"/>
      <c r="B1696" s="2167"/>
      <c r="C1696" s="1315"/>
      <c r="D1696" s="1315"/>
      <c r="E1696" s="457"/>
      <c r="F1696" s="1315" t="s">
        <v>4483</v>
      </c>
      <c r="G1696" s="2025"/>
      <c r="H1696" s="457"/>
      <c r="I1696" s="1997"/>
      <c r="J1696" s="1315"/>
      <c r="K1696" s="1903"/>
      <c r="L1696" s="2168"/>
      <c r="M1696" s="1955"/>
      <c r="N1696" s="1955"/>
      <c r="O1696" s="2028"/>
      <c r="P1696" s="2028"/>
      <c r="Q1696" s="1955"/>
      <c r="R1696" s="2142"/>
      <c r="S1696" s="1315"/>
      <c r="T1696" s="1315"/>
      <c r="U1696" s="1315"/>
      <c r="V1696" s="1315"/>
      <c r="W1696" s="1315"/>
      <c r="X1696" s="1315"/>
    </row>
    <row r="1697" spans="1:24" ht="14.4">
      <c r="A1697" s="1981" t="s">
        <v>1957</v>
      </c>
      <c r="B1697" s="2145" t="s">
        <v>2591</v>
      </c>
      <c r="C1697" s="1315"/>
      <c r="D1697" s="1315"/>
      <c r="E1697" s="457"/>
      <c r="F1697" s="1315"/>
      <c r="G1697" s="2025"/>
      <c r="H1697" s="1051" t="s">
        <v>4683</v>
      </c>
      <c r="I1697" s="1315"/>
      <c r="J1697" s="2169"/>
      <c r="K1697" s="2169" t="str">
        <f>'Part I-Project Information'!$K$94</f>
        <v>40% of Units at 60% of AMI</v>
      </c>
      <c r="L1697" s="1315"/>
      <c r="M1697" s="1955"/>
      <c r="N1697" s="1955"/>
      <c r="O1697" s="1315"/>
      <c r="P1697" s="1315"/>
      <c r="Q1697" s="1955"/>
      <c r="R1697" s="2142"/>
      <c r="S1697" s="1315"/>
      <c r="T1697" s="1315"/>
      <c r="U1697" s="1315"/>
      <c r="V1697" s="1315"/>
      <c r="W1697" s="1315"/>
      <c r="X1697" s="1315"/>
    </row>
    <row r="1698" spans="1:24" ht="15" customHeight="1">
      <c r="A1698" s="1981"/>
      <c r="B1698" s="2005" t="s">
        <v>4477</v>
      </c>
      <c r="C1698" s="2005"/>
      <c r="D1698" s="2005"/>
      <c r="E1698" s="2005"/>
      <c r="F1698" s="2005"/>
      <c r="G1698" s="2005"/>
      <c r="H1698" s="2005"/>
      <c r="I1698" s="2005"/>
      <c r="J1698" s="2005"/>
      <c r="K1698" s="2005"/>
      <c r="L1698" s="2005"/>
      <c r="M1698" s="1955"/>
      <c r="N1698" s="1955"/>
      <c r="O1698" s="2122"/>
      <c r="P1698" s="2122"/>
      <c r="Q1698" s="1955"/>
      <c r="R1698" s="2142"/>
      <c r="S1698" s="2122"/>
      <c r="T1698" s="2122"/>
      <c r="U1698" s="2122"/>
      <c r="V1698" s="2122"/>
      <c r="W1698" s="2122"/>
      <c r="X1698" s="2122"/>
    </row>
    <row r="1699" spans="1:24" ht="14.4">
      <c r="A1699" s="2122"/>
      <c r="B1699" s="2005"/>
      <c r="C1699" s="2005"/>
      <c r="D1699" s="2005"/>
      <c r="E1699" s="2005"/>
      <c r="F1699" s="2005"/>
      <c r="G1699" s="2005"/>
      <c r="H1699" s="2005"/>
      <c r="I1699" s="2005"/>
      <c r="J1699" s="2005"/>
      <c r="K1699" s="2005"/>
      <c r="L1699" s="2005"/>
      <c r="M1699" s="1958">
        <v>2</v>
      </c>
      <c r="N1699" s="2137" t="s">
        <v>1957</v>
      </c>
      <c r="O1699" s="2164">
        <f>'Part IX Scoring Criteria'!O51</f>
        <v>2</v>
      </c>
      <c r="P1699" s="2164">
        <f>MIN($M1699, P1700+P1701)</f>
        <v>0</v>
      </c>
      <c r="Q1699" s="2122"/>
      <c r="R1699" s="2122"/>
      <c r="S1699" s="2122"/>
      <c r="T1699" s="2122"/>
      <c r="U1699" s="2122"/>
      <c r="V1699" s="2122"/>
      <c r="W1699" s="2122"/>
      <c r="X1699" s="2122"/>
    </row>
    <row r="1700" spans="1:24" ht="14.4">
      <c r="A1700" s="1981"/>
      <c r="B1700" s="2170" t="s">
        <v>1960</v>
      </c>
      <c r="C1700" s="2171" t="s">
        <v>4478</v>
      </c>
      <c r="D1700" s="457"/>
      <c r="E1700" s="2122"/>
      <c r="F1700" s="2122"/>
      <c r="G1700" s="2122"/>
      <c r="H1700" s="457" t="s">
        <v>4479</v>
      </c>
      <c r="I1700" s="1786"/>
      <c r="J1700" s="2122"/>
      <c r="K1700" s="2172">
        <f>'Part VI-Revenues &amp; Expenses'!B1697</f>
        <v>0</v>
      </c>
      <c r="L1700" s="1795" t="str">
        <f>IF(AND(O1700&gt;0,O1701&gt;0), "CHOOSE EITHER A OR B, NOT BOTH!", "")</f>
        <v/>
      </c>
      <c r="M1700" s="1958">
        <v>2</v>
      </c>
      <c r="N1700" s="2162" t="s">
        <v>1960</v>
      </c>
      <c r="O1700" s="2028">
        <f>'Part IX Scoring Criteria'!O52</f>
        <v>0</v>
      </c>
      <c r="P1700" s="2028"/>
      <c r="Q1700" s="2173" t="str">
        <f>IF(OR($O1700=$M1700,$O1700=0,$O1700=""),"","*CHECK!*")</f>
        <v/>
      </c>
      <c r="R1700" s="1786" t="s">
        <v>2667</v>
      </c>
      <c r="S1700" s="2122"/>
      <c r="T1700" s="2122"/>
      <c r="U1700" s="2122"/>
      <c r="V1700" s="2122"/>
      <c r="W1700" s="2122"/>
      <c r="X1700" s="2122"/>
    </row>
    <row r="1701" spans="1:24" ht="14.4">
      <c r="A1701" s="2098" t="s">
        <v>3287</v>
      </c>
      <c r="B1701" s="2170" t="s">
        <v>1962</v>
      </c>
      <c r="C1701" s="2171" t="s">
        <v>4480</v>
      </c>
      <c r="D1701" s="457"/>
      <c r="E1701" s="2122"/>
      <c r="F1701" s="2122"/>
      <c r="G1701" s="2122"/>
      <c r="H1701" s="2122"/>
      <c r="I1701" s="1786"/>
      <c r="J1701" s="2122"/>
      <c r="K1701" s="457"/>
      <c r="L1701" s="1795"/>
      <c r="M1701" s="1958">
        <v>2</v>
      </c>
      <c r="N1701" s="2162" t="s">
        <v>1962</v>
      </c>
      <c r="O1701" s="2028">
        <f>'Part IX Scoring Criteria'!O53</f>
        <v>2</v>
      </c>
      <c r="P1701" s="2028"/>
      <c r="Q1701" s="2173" t="str">
        <f>IF(OR($O1701=$M1701,$O1701=0,$O1701=""),"","*CHECK!*")</f>
        <v/>
      </c>
      <c r="R1701" s="1786" t="s">
        <v>2667</v>
      </c>
      <c r="S1701" s="2122"/>
      <c r="T1701" s="2122"/>
      <c r="U1701" s="2122"/>
      <c r="V1701" s="2122"/>
      <c r="W1701" s="2122"/>
      <c r="X1701" s="2122"/>
    </row>
    <row r="1702" spans="1:24" ht="14.4">
      <c r="A1702" s="1314"/>
      <c r="B1702" s="2162"/>
      <c r="C1702" s="2163"/>
      <c r="D1702" s="2061"/>
      <c r="E1702" s="2123"/>
      <c r="F1702" s="2123"/>
      <c r="G1702" s="2123"/>
      <c r="H1702" s="2123"/>
      <c r="I1702" s="2123"/>
      <c r="J1702" s="2123"/>
      <c r="K1702" s="2106"/>
      <c r="L1702" s="2106"/>
      <c r="M1702" s="1958"/>
      <c r="N1702" s="2137"/>
      <c r="O1702" s="2164"/>
      <c r="P1702" s="2164"/>
      <c r="Q1702" s="2123"/>
      <c r="R1702" s="2123"/>
      <c r="S1702" s="2123"/>
      <c r="T1702" s="2123"/>
      <c r="U1702" s="2123"/>
      <c r="V1702" s="2123"/>
      <c r="W1702" s="2123"/>
      <c r="X1702" s="2123"/>
    </row>
    <row r="1703" spans="1:24" ht="14.4">
      <c r="A1703" s="1981" t="s">
        <v>1959</v>
      </c>
      <c r="B1703" s="2145" t="s">
        <v>5072</v>
      </c>
      <c r="C1703" s="2123"/>
      <c r="D1703" s="2123"/>
      <c r="E1703" s="2025"/>
      <c r="F1703" s="2123"/>
      <c r="G1703" s="2123"/>
      <c r="H1703" s="1786" t="s">
        <v>4481</v>
      </c>
      <c r="I1703" s="1786"/>
      <c r="J1703" s="2174" t="s">
        <v>4482</v>
      </c>
      <c r="K1703" s="2123"/>
      <c r="L1703" s="2123"/>
      <c r="M1703" s="1958">
        <v>3</v>
      </c>
      <c r="N1703" s="2095" t="s">
        <v>1959</v>
      </c>
      <c r="O1703" s="2164">
        <f>'Part IX Scoring Criteria'!O55</f>
        <v>0</v>
      </c>
      <c r="P1703" s="2164">
        <f>IF(AND(P1704="Yes", P1705="Yes"),$M$55,0)</f>
        <v>0</v>
      </c>
      <c r="Q1703" s="2123"/>
      <c r="R1703" s="2123"/>
      <c r="S1703" s="2123"/>
      <c r="T1703" s="2123"/>
      <c r="U1703" s="2123"/>
      <c r="V1703" s="2123"/>
      <c r="W1703" s="2123"/>
      <c r="X1703" s="2123"/>
    </row>
    <row r="1704" spans="1:24" ht="14.4">
      <c r="A1704" s="2175"/>
      <c r="B1704" s="2170" t="s">
        <v>1960</v>
      </c>
      <c r="C1704" s="2176">
        <v>0.3</v>
      </c>
      <c r="D1704" s="2156" t="s">
        <v>3556</v>
      </c>
      <c r="E1704" s="2025"/>
      <c r="F1704" s="2110"/>
      <c r="G1704" s="2123"/>
      <c r="H1704" s="2177">
        <f>'Part IX Scoring Criteria'!H56</f>
        <v>0</v>
      </c>
      <c r="I1704" s="2177"/>
      <c r="J1704" s="2178">
        <f>'Part VI-Revenues &amp; Expenses'!O1713</f>
        <v>0</v>
      </c>
      <c r="K1704" s="2106">
        <f>IF(OR('Part VI-Revenues &amp; Expenses'!$O$65="", 'Part VI-Revenues &amp; Expenses'!$O$65=0),0,H1704/'Part VI-Revenues &amp; Expenses'!$O$65)</f>
        <v>0</v>
      </c>
      <c r="L1704" s="2106">
        <f>IF(OR('Part VI-Revenues &amp; Expenses'!$O$65="", 'Part VI-Revenues &amp; Expenses'!$O$65=0),0,I1704/'Part VI-Revenues &amp; Expenses'!$O$65)</f>
        <v>0</v>
      </c>
      <c r="M1704" s="1958"/>
      <c r="N1704" s="2137" t="s">
        <v>1960</v>
      </c>
      <c r="O1704" s="2164" t="str">
        <f>'Part IX Scoring Criteria'!O56</f>
        <v>No</v>
      </c>
      <c r="P1704" s="2164" t="str">
        <f>IF(AND(L1704 &gt;= $C$56,P1705="Yes"),"Yes","No")</f>
        <v>No</v>
      </c>
      <c r="Q1704" s="2123"/>
      <c r="R1704" s="2123"/>
      <c r="S1704" s="2123"/>
      <c r="T1704" s="2123"/>
      <c r="U1704" s="2123"/>
      <c r="V1704" s="2123"/>
      <c r="W1704" s="2123"/>
      <c r="X1704" s="2123"/>
    </row>
    <row r="1705" spans="1:24" ht="14.4">
      <c r="A1705" s="1314"/>
      <c r="B1705" s="2170" t="s">
        <v>1962</v>
      </c>
      <c r="C1705" s="2008" t="s">
        <v>3807</v>
      </c>
      <c r="D1705" s="2123"/>
      <c r="E1705" s="2179"/>
      <c r="F1705" s="2110"/>
      <c r="G1705" s="2123"/>
      <c r="H1705" s="2123"/>
      <c r="I1705" s="2148"/>
      <c r="J1705" s="2148"/>
      <c r="K1705" s="2148"/>
      <c r="L1705" s="2148"/>
      <c r="M1705" s="2148"/>
      <c r="N1705" s="2137" t="s">
        <v>1962</v>
      </c>
      <c r="O1705" s="1314">
        <f>'Part IX Scoring Criteria'!O57</f>
        <v>0</v>
      </c>
      <c r="P1705" s="1314"/>
      <c r="Q1705" s="2123"/>
      <c r="R1705" s="2123"/>
      <c r="S1705" s="2123"/>
      <c r="T1705" s="2123"/>
      <c r="U1705" s="2123"/>
      <c r="V1705" s="2123"/>
      <c r="W1705" s="2123"/>
      <c r="X1705" s="2123"/>
    </row>
    <row r="1706" spans="1:24" ht="14.4">
      <c r="A1706" s="1311"/>
      <c r="B1706" s="1997" t="s">
        <v>1841</v>
      </c>
      <c r="C1706" s="2123"/>
      <c r="D1706" s="2066"/>
      <c r="E1706" s="2068"/>
      <c r="F1706" s="2068"/>
      <c r="G1706" s="2068"/>
      <c r="H1706" s="2068"/>
      <c r="I1706" s="2068"/>
      <c r="J1706" s="2068"/>
      <c r="K1706" s="2068"/>
      <c r="L1706" s="2068"/>
      <c r="M1706" s="2068"/>
      <c r="N1706" s="2144"/>
      <c r="O1706" s="2144"/>
      <c r="P1706" s="1955"/>
      <c r="Q1706" s="2123"/>
      <c r="R1706" s="1315"/>
      <c r="S1706" s="1315"/>
      <c r="T1706" s="1315"/>
      <c r="U1706" s="1315"/>
      <c r="V1706" s="1315"/>
      <c r="W1706" s="1315"/>
      <c r="X1706" s="1315"/>
    </row>
    <row r="1707" spans="1:24" ht="15">
      <c r="A1707" s="2064"/>
      <c r="B1707" s="2064"/>
      <c r="C1707" s="2064"/>
      <c r="D1707" s="2064"/>
      <c r="E1707" s="2064"/>
      <c r="F1707" s="2064"/>
      <c r="G1707" s="2064"/>
      <c r="H1707" s="2064"/>
      <c r="I1707" s="2064"/>
      <c r="J1707" s="2064"/>
      <c r="K1707" s="2064"/>
      <c r="L1707" s="2064"/>
      <c r="M1707" s="2064"/>
      <c r="N1707" s="2064"/>
      <c r="O1707" s="2064"/>
      <c r="P1707" s="2064"/>
      <c r="Q1707" s="2065"/>
      <c r="R1707" s="1315"/>
      <c r="S1707" s="1315"/>
      <c r="T1707" s="1315"/>
      <c r="U1707" s="1315"/>
      <c r="V1707" s="1315"/>
      <c r="W1707" s="1315"/>
      <c r="X1707" s="1315"/>
    </row>
    <row r="1708" spans="1:24">
      <c r="N1708" s="1953"/>
      <c r="O1708" s="1953"/>
      <c r="P1708" s="1953"/>
    </row>
    <row r="1709" spans="1:24" ht="15.75" customHeight="1">
      <c r="A1709" s="2159" t="s">
        <v>731</v>
      </c>
      <c r="B1709" s="1995" t="s">
        <v>3913</v>
      </c>
      <c r="C1709" s="1315"/>
      <c r="D1709" s="2180"/>
      <c r="E1709" s="1315"/>
      <c r="F1709" s="1315"/>
      <c r="G1709" s="1315"/>
      <c r="H1709" s="1315"/>
      <c r="I1709" s="1925" t="s">
        <v>3658</v>
      </c>
      <c r="J1709" s="1925"/>
      <c r="K1709" s="1925"/>
      <c r="L1709" s="1925"/>
      <c r="M1709" s="1955">
        <v>10</v>
      </c>
      <c r="N1709" s="2098"/>
      <c r="O1709" s="2028">
        <f>'Part IX Scoring Criteria'!O61</f>
        <v>10</v>
      </c>
      <c r="P1709" s="2028">
        <f>IF(OR($M1712-P1713&lt;0,P1712-P1713&lt;0),0,IF(P1712&lt;=$M1712,P1712-P1713,IF(P1712&gt;$M1712,$M1712-P1713,0)))</f>
        <v>0</v>
      </c>
      <c r="Q1709" s="1955" t="s">
        <v>437</v>
      </c>
      <c r="R1709" s="1315"/>
      <c r="S1709" s="1315"/>
      <c r="T1709" s="1315"/>
      <c r="U1709" s="1315"/>
      <c r="V1709" s="1315"/>
      <c r="W1709" s="1315"/>
      <c r="X1709" s="1315"/>
    </row>
    <row r="1710" spans="1:24" ht="14.4">
      <c r="A1710" s="1311"/>
      <c r="B1710" s="1315"/>
      <c r="C1710" s="1315"/>
      <c r="D1710" s="457"/>
      <c r="E1710" s="457"/>
      <c r="F1710" s="1955"/>
      <c r="G1710" s="1955"/>
      <c r="H1710" s="1925"/>
      <c r="I1710" s="1925"/>
      <c r="J1710" s="1925"/>
      <c r="K1710" s="1925"/>
      <c r="L1710" s="1925"/>
      <c r="M1710" s="1314"/>
      <c r="N1710" s="1955"/>
      <c r="O1710" s="1953"/>
      <c r="P1710" s="2028"/>
      <c r="Q1710" s="1315"/>
      <c r="R1710" s="1315"/>
      <c r="S1710" s="1315"/>
      <c r="T1710" s="1315"/>
      <c r="U1710" s="1315"/>
      <c r="V1710" s="1315"/>
      <c r="W1710" s="1315"/>
      <c r="X1710" s="1315"/>
    </row>
    <row r="1711" spans="1:24" ht="14.4">
      <c r="A1711" s="1981"/>
      <c r="B1711" s="457" t="s">
        <v>3725</v>
      </c>
      <c r="C1711" s="2122"/>
      <c r="D1711" s="1311"/>
      <c r="E1711" s="2122"/>
      <c r="F1711" s="2122"/>
      <c r="G1711" s="2122"/>
      <c r="H1711" s="2122"/>
      <c r="I1711" s="2122"/>
      <c r="J1711" s="2122"/>
      <c r="K1711" s="2122"/>
      <c r="L1711" s="2122"/>
      <c r="M1711" s="2122"/>
      <c r="N1711" s="2098"/>
      <c r="O1711" s="1314" t="str">
        <f>'Part IX Scoring Criteria'!O63</f>
        <v>Yes</v>
      </c>
      <c r="P1711" s="1314"/>
      <c r="Q1711" s="2122"/>
      <c r="R1711" s="2122"/>
      <c r="S1711" s="2122"/>
      <c r="T1711" s="2122"/>
      <c r="U1711" s="2122"/>
      <c r="V1711" s="2122"/>
      <c r="W1711" s="2122"/>
      <c r="X1711" s="2122"/>
    </row>
    <row r="1712" spans="1:24" ht="15" customHeight="1">
      <c r="A1712" s="1981" t="s">
        <v>1957</v>
      </c>
      <c r="B1712" s="1957" t="s">
        <v>1848</v>
      </c>
      <c r="C1712" s="1311"/>
      <c r="D1712" s="1311"/>
      <c r="E1712" s="2122"/>
      <c r="F1712" s="1778"/>
      <c r="G1712" s="2122"/>
      <c r="H1712" s="1886" t="s">
        <v>2679</v>
      </c>
      <c r="I1712" s="1925" t="s">
        <v>5073</v>
      </c>
      <c r="J1712" s="1925"/>
      <c r="K1712" s="1925"/>
      <c r="L1712" s="1925"/>
      <c r="M1712" s="1955">
        <v>10</v>
      </c>
      <c r="N1712" s="2162" t="s">
        <v>1957</v>
      </c>
      <c r="O1712" s="2028">
        <f>'Part IX Scoring Criteria'!O64</f>
        <v>10</v>
      </c>
      <c r="P1712" s="2028"/>
      <c r="Q1712" s="2173" t="str">
        <f>IF(OR($O1712=$M1712,$O1712=0,$O1712=""),"","*CHECK!*")</f>
        <v/>
      </c>
      <c r="R1712" s="2122"/>
      <c r="S1712" s="2122"/>
      <c r="T1712" s="2122"/>
      <c r="U1712" s="2122"/>
      <c r="V1712" s="2122"/>
      <c r="W1712" s="2122"/>
      <c r="X1712" s="2122"/>
    </row>
    <row r="1713" spans="1:24" ht="14.4">
      <c r="A1713" s="1981" t="s">
        <v>1959</v>
      </c>
      <c r="B1713" s="1957" t="s">
        <v>3716</v>
      </c>
      <c r="C1713" s="2122"/>
      <c r="D1713" s="2181"/>
      <c r="E1713" s="2122"/>
      <c r="F1713" s="1882"/>
      <c r="G1713" s="2122"/>
      <c r="H1713" s="1886" t="s">
        <v>3829</v>
      </c>
      <c r="I1713" s="1925"/>
      <c r="J1713" s="1925"/>
      <c r="K1713" s="1925"/>
      <c r="L1713" s="1925"/>
      <c r="M1713" s="1314" t="s">
        <v>1223</v>
      </c>
      <c r="N1713" s="2098" t="s">
        <v>1959</v>
      </c>
      <c r="O1713" s="2028">
        <f>'Part IX Scoring Criteria'!O65</f>
        <v>0</v>
      </c>
      <c r="P1713" s="2028"/>
      <c r="Q1713" s="2122"/>
      <c r="R1713" s="2122"/>
      <c r="S1713" s="2122"/>
      <c r="T1713" s="2122"/>
      <c r="U1713" s="2122"/>
      <c r="V1713" s="2122"/>
      <c r="W1713" s="2122"/>
      <c r="X1713" s="2122"/>
    </row>
    <row r="1714" spans="1:24" ht="14.4">
      <c r="A1714" s="1311"/>
      <c r="B1714" s="1997" t="s">
        <v>3645</v>
      </c>
      <c r="C1714" s="1311"/>
      <c r="D1714" s="1957"/>
      <c r="E1714" s="1957"/>
      <c r="F1714" s="1957"/>
      <c r="G1714" s="1957"/>
      <c r="H1714" s="457"/>
      <c r="I1714" s="1925"/>
      <c r="J1714" s="1925"/>
      <c r="K1714" s="1925"/>
      <c r="L1714" s="1925"/>
      <c r="M1714" s="1955"/>
      <c r="N1714" s="1953"/>
      <c r="O1714" s="2028"/>
      <c r="P1714" s="1953"/>
      <c r="Q1714" s="1315"/>
      <c r="R1714" s="1315"/>
      <c r="S1714" s="1315"/>
      <c r="T1714" s="1315"/>
      <c r="U1714" s="1315"/>
      <c r="V1714" s="1315"/>
      <c r="W1714" s="1315"/>
      <c r="X1714" s="1315"/>
    </row>
    <row r="1715" spans="1:24" ht="409.6">
      <c r="A1715" s="2064" t="str">
        <f>'Part IX Scoring Criteria'!A67</f>
        <v xml:space="preserve">The Desirable/Undesirable Certification shows ten amenities for a total of 15 points, althoug applicants are capped at ten.  Tab 27 also  includes google maps showing directions to amenities from site. Google directional maps have been provided that utilize the pedestrian/vehicular geo coordinates at the site entrance.   The daycare licensing information has been inluded as well. 
Additionally, Haven at South Atlanta is 0.8 miles from the Carver Neighborhood Market located at 1297 McDonough Boulevard SE, Atlanta, GA 30315; consequently, the site is not in a food desert and should not receive any undesirable point deductions.  The QAP defines a food desert as a “low-income census tract where a significant number or share of residents is more than 2 miles (USDA urban) or 20 miles (USDA rural) from the nearest supermarket”. DCA requires applicants to utilize the USDA Food Access Research Atlas showing the “LI and LA at 1 and 20 miles” layer with the site location clearly marked. Please note, the layer DCA identifies (LA at 1 and 20 miles) demonstrates, “Low-income census tracts where a significant number or share of residents is more than 1 mile (urban) or 20 miles (rural) from the nearest supermarket, a much shorter distance than the 2 mile distance referenced in the QAP. The applicant has also verified with Alana Rhone, USDA Economic Research Service, Agricultural Economist, and with the physical reports that the map utilizes, 1) the data has not been updated since 2015 and 2) only supermarkets, super centers, or large grocery stores are identified.  The Carver Neighborhood Market is three years old; consequently, it would not have been captured in 2015 data.  Additionally, although the neighborhood market meets the grocery store requirements, it is not a large supermarket or super center. 
</v>
      </c>
      <c r="B1715" s="2064"/>
      <c r="C1715" s="2064"/>
      <c r="D1715" s="2064"/>
      <c r="E1715" s="2064"/>
      <c r="F1715" s="2064"/>
      <c r="G1715" s="2064"/>
      <c r="H1715" s="2064"/>
      <c r="I1715" s="2064"/>
      <c r="J1715" s="2064"/>
      <c r="K1715" s="2064"/>
      <c r="L1715" s="2064"/>
      <c r="M1715" s="2064"/>
      <c r="N1715" s="2064"/>
      <c r="O1715" s="2064"/>
      <c r="P1715" s="2064"/>
      <c r="Q1715" s="2065" t="s">
        <v>1239</v>
      </c>
      <c r="R1715" s="2065"/>
      <c r="S1715" s="1315"/>
      <c r="T1715" s="1315"/>
      <c r="U1715" s="1315"/>
      <c r="V1715" s="1315"/>
      <c r="W1715" s="1315"/>
      <c r="X1715" s="1315"/>
    </row>
    <row r="1716" spans="1:24" ht="14.4">
      <c r="A1716" s="1311"/>
      <c r="B1716" s="1997" t="s">
        <v>1841</v>
      </c>
      <c r="C1716" s="1311"/>
      <c r="D1716" s="2066"/>
      <c r="E1716" s="2068"/>
      <c r="F1716" s="2068"/>
      <c r="G1716" s="2068"/>
      <c r="H1716" s="2068"/>
      <c r="I1716" s="2068"/>
      <c r="J1716" s="2068"/>
      <c r="K1716" s="2068"/>
      <c r="L1716" s="2068"/>
      <c r="M1716" s="2068"/>
      <c r="N1716" s="2144"/>
      <c r="O1716" s="2144"/>
      <c r="P1716" s="1955"/>
      <c r="Q1716" s="2123"/>
      <c r="R1716" s="2123"/>
      <c r="S1716" s="1315"/>
      <c r="T1716" s="1315"/>
      <c r="U1716" s="1315"/>
      <c r="V1716" s="1315"/>
      <c r="W1716" s="1315"/>
      <c r="X1716" s="1315"/>
    </row>
    <row r="1717" spans="1:24" ht="15">
      <c r="A1717" s="2064"/>
      <c r="B1717" s="2064"/>
      <c r="C1717" s="2064"/>
      <c r="D1717" s="2064"/>
      <c r="E1717" s="2064"/>
      <c r="F1717" s="2064"/>
      <c r="G1717" s="2064"/>
      <c r="H1717" s="2064"/>
      <c r="I1717" s="2064"/>
      <c r="J1717" s="2064"/>
      <c r="K1717" s="2064"/>
      <c r="L1717" s="2064"/>
      <c r="M1717" s="2064"/>
      <c r="N1717" s="2064"/>
      <c r="O1717" s="2064"/>
      <c r="P1717" s="2064"/>
      <c r="Q1717" s="2065"/>
      <c r="R1717" s="2065"/>
      <c r="S1717" s="1315"/>
      <c r="T1717" s="1315"/>
      <c r="U1717" s="1315"/>
      <c r="V1717" s="1315"/>
      <c r="W1717" s="1315"/>
      <c r="X1717" s="1315"/>
    </row>
    <row r="1718" spans="1:24">
      <c r="M1718" s="1311"/>
      <c r="N1718" s="1955"/>
      <c r="O1718" s="1955"/>
      <c r="P1718" s="1955"/>
    </row>
    <row r="1719" spans="1:24" ht="15.75" customHeight="1">
      <c r="A1719" s="2159" t="s">
        <v>1770</v>
      </c>
      <c r="B1719" s="1995" t="s">
        <v>2596</v>
      </c>
      <c r="C1719" s="1315"/>
      <c r="D1719" s="2180"/>
      <c r="E1719" s="1315"/>
      <c r="F1719" s="1315"/>
      <c r="G1719" s="1315"/>
      <c r="H1719" s="1315"/>
      <c r="I1719" s="1315"/>
      <c r="J1719" s="1315"/>
      <c r="K1719" s="2182" t="s">
        <v>1853</v>
      </c>
      <c r="L1719" s="1315"/>
      <c r="M1719" s="1955">
        <v>6</v>
      </c>
      <c r="N1719" s="2098"/>
      <c r="O1719" s="2028">
        <f>'Part IX Scoring Criteria'!O71</f>
        <v>3</v>
      </c>
      <c r="P1719" s="2028">
        <f>IF($J$72="Flexible",MIN($M1719,MAX(P1734,P1740)),IF(AND($J$72="Rural",P1748&gt;0),MIN($M1748,P1748),0))</f>
        <v>0</v>
      </c>
      <c r="Q1719" s="1955" t="s">
        <v>437</v>
      </c>
      <c r="R1719" s="2085" t="s">
        <v>5074</v>
      </c>
      <c r="S1719" s="2085"/>
      <c r="T1719" s="2085"/>
      <c r="U1719" s="2085"/>
      <c r="V1719" s="1315"/>
      <c r="W1719" s="1315"/>
      <c r="X1719" s="1315"/>
    </row>
    <row r="1720" spans="1:24" ht="14.4">
      <c r="A1720" s="2159"/>
      <c r="B1720" s="1957" t="s">
        <v>3808</v>
      </c>
      <c r="C1720" s="1315"/>
      <c r="D1720" s="2180"/>
      <c r="E1720" s="1315"/>
      <c r="F1720" s="1315"/>
      <c r="G1720" s="1315"/>
      <c r="H1720" s="1957" t="s">
        <v>2748</v>
      </c>
      <c r="I1720" s="1203"/>
      <c r="J1720" s="1957" t="str">
        <f>'Part I-Project Information'!$H$105</f>
        <v>Flexible</v>
      </c>
      <c r="K1720" s="1957"/>
      <c r="L1720" s="1315"/>
      <c r="M1720" s="1955"/>
      <c r="N1720" s="2098"/>
      <c r="O1720" s="2183" t="s">
        <v>3516</v>
      </c>
      <c r="P1720" s="2183" t="s">
        <v>3517</v>
      </c>
      <c r="Q1720" s="1955"/>
      <c r="R1720" s="2085"/>
      <c r="S1720" s="2085"/>
      <c r="T1720" s="2085"/>
      <c r="U1720" s="2085"/>
      <c r="V1720" s="1315"/>
      <c r="W1720" s="1315"/>
      <c r="X1720" s="1315"/>
    </row>
    <row r="1721" spans="1:24" ht="14.4">
      <c r="A1721" s="2159"/>
      <c r="B1721" s="2184" t="s">
        <v>1960</v>
      </c>
      <c r="C1721" s="457" t="s">
        <v>4488</v>
      </c>
      <c r="D1721" s="2181"/>
      <c r="E1721" s="2122"/>
      <c r="F1721" s="2122"/>
      <c r="G1721" s="2122"/>
      <c r="H1721" s="1997"/>
      <c r="I1721" s="1997"/>
      <c r="J1721" s="1957"/>
      <c r="K1721" s="1957"/>
      <c r="L1721" s="2122"/>
      <c r="M1721" s="1955"/>
      <c r="N1721" s="2098"/>
      <c r="O1721" s="1314" t="str">
        <f>'Part IX Scoring Criteria'!O73</f>
        <v>Yes</v>
      </c>
      <c r="P1721" s="1314"/>
      <c r="Q1721" s="1955"/>
      <c r="R1721" s="2085"/>
      <c r="S1721" s="2085"/>
      <c r="T1721" s="2085"/>
      <c r="U1721" s="2085"/>
      <c r="V1721" s="1315"/>
      <c r="W1721" s="1315"/>
      <c r="X1721" s="1315"/>
    </row>
    <row r="1722" spans="1:24" ht="14.4">
      <c r="A1722" s="2159"/>
      <c r="B1722" s="2184" t="s">
        <v>1962</v>
      </c>
      <c r="C1722" s="457" t="s">
        <v>4489</v>
      </c>
      <c r="D1722" s="2181"/>
      <c r="E1722" s="2122"/>
      <c r="F1722" s="2122"/>
      <c r="G1722" s="2122"/>
      <c r="H1722" s="1997"/>
      <c r="I1722" s="1997"/>
      <c r="J1722" s="1957"/>
      <c r="K1722" s="1957"/>
      <c r="L1722" s="2122"/>
      <c r="M1722" s="2122"/>
      <c r="N1722" s="2098"/>
      <c r="O1722" s="1314" t="str">
        <f>'Part IX Scoring Criteria'!O74</f>
        <v>Yes</v>
      </c>
      <c r="P1722" s="1314"/>
      <c r="Q1722" s="1955"/>
      <c r="R1722" s="2085"/>
      <c r="S1722" s="2085"/>
      <c r="T1722" s="2085"/>
      <c r="U1722" s="2085"/>
      <c r="V1722" s="1315"/>
      <c r="W1722" s="1315"/>
      <c r="X1722" s="1315"/>
    </row>
    <row r="1723" spans="1:24" ht="14.4">
      <c r="A1723" s="2159"/>
      <c r="B1723" s="2184" t="s">
        <v>2501</v>
      </c>
      <c r="C1723" s="457" t="s">
        <v>5075</v>
      </c>
      <c r="D1723" s="2181"/>
      <c r="E1723" s="2122"/>
      <c r="F1723" s="2122"/>
      <c r="G1723" s="2122"/>
      <c r="H1723" s="1997"/>
      <c r="I1723" s="1997"/>
      <c r="J1723" s="1957"/>
      <c r="K1723" s="1957"/>
      <c r="L1723" s="2122"/>
      <c r="M1723" s="2122"/>
      <c r="N1723" s="2098"/>
      <c r="O1723" s="1314" t="str">
        <f>'Part IX Scoring Criteria'!O75</f>
        <v>Yes</v>
      </c>
      <c r="P1723" s="1314"/>
      <c r="Q1723" s="1955"/>
      <c r="R1723" s="2085"/>
      <c r="S1723" s="2085"/>
      <c r="T1723" s="2085"/>
      <c r="U1723" s="2085"/>
      <c r="V1723" s="1315"/>
      <c r="W1723" s="1315"/>
      <c r="X1723" s="1315"/>
    </row>
    <row r="1724" spans="1:24" ht="14.4">
      <c r="A1724" s="2159"/>
      <c r="B1724" s="2184" t="s">
        <v>1209</v>
      </c>
      <c r="C1724" s="457" t="s">
        <v>4484</v>
      </c>
      <c r="D1724" s="2181"/>
      <c r="E1724" s="2122"/>
      <c r="F1724" s="2122"/>
      <c r="G1724" s="2122"/>
      <c r="H1724" s="1997"/>
      <c r="I1724" s="1997"/>
      <c r="J1724" s="1957"/>
      <c r="K1724" s="1957"/>
      <c r="L1724" s="2122"/>
      <c r="M1724" s="2122"/>
      <c r="N1724" s="2098"/>
      <c r="O1724" s="1314" t="str">
        <f>'Part IX Scoring Criteria'!O76</f>
        <v>N/a</v>
      </c>
      <c r="P1724" s="1314"/>
      <c r="Q1724" s="1955"/>
      <c r="R1724" s="2085"/>
      <c r="S1724" s="2085"/>
      <c r="T1724" s="2085"/>
      <c r="U1724" s="2085"/>
      <c r="V1724" s="1315"/>
      <c r="W1724" s="1315"/>
      <c r="X1724" s="1315"/>
    </row>
    <row r="1725" spans="1:24" ht="14.4">
      <c r="A1725" s="2159"/>
      <c r="B1725" s="1995"/>
      <c r="C1725" s="1315"/>
      <c r="D1725" s="2180"/>
      <c r="E1725" s="1315"/>
      <c r="F1725" s="1315"/>
      <c r="G1725" s="1315"/>
      <c r="H1725" s="1997"/>
      <c r="I1725" s="1997"/>
      <c r="J1725" s="1957"/>
      <c r="K1725" s="1957"/>
      <c r="L1725" s="1315"/>
      <c r="M1725" s="1955"/>
      <c r="N1725" s="2098"/>
      <c r="O1725" s="2028"/>
      <c r="P1725" s="2028"/>
      <c r="Q1725" s="1955"/>
      <c r="R1725" s="2085"/>
      <c r="S1725" s="2085"/>
      <c r="T1725" s="2085"/>
      <c r="U1725" s="2085"/>
      <c r="V1725" s="1315"/>
      <c r="W1725" s="1315"/>
      <c r="X1725" s="1315"/>
    </row>
    <row r="1726" spans="1:24" ht="14.4">
      <c r="A1726" s="2159"/>
      <c r="B1726" s="1957" t="s">
        <v>3814</v>
      </c>
      <c r="C1726" s="1315"/>
      <c r="D1726" s="2180"/>
      <c r="E1726" s="1315"/>
      <c r="F1726" s="1957" t="s">
        <v>3614</v>
      </c>
      <c r="G1726" s="1957"/>
      <c r="H1726" s="1957"/>
      <c r="I1726" s="1957"/>
      <c r="J1726" s="1957" t="s">
        <v>3615</v>
      </c>
      <c r="K1726" s="1957"/>
      <c r="L1726" s="1957"/>
      <c r="M1726" s="1957"/>
      <c r="N1726" s="2098"/>
      <c r="O1726" s="2185" t="s">
        <v>5076</v>
      </c>
      <c r="P1726" s="2185"/>
      <c r="Q1726" s="1955"/>
      <c r="R1726" s="2085"/>
      <c r="S1726" s="2085"/>
      <c r="T1726" s="2085"/>
      <c r="U1726" s="2085"/>
      <c r="V1726" s="1315"/>
      <c r="W1726" s="1315"/>
      <c r="X1726" s="1315"/>
    </row>
    <row r="1727" spans="1:24" ht="14.4">
      <c r="A1727" s="2159"/>
      <c r="B1727" s="1315"/>
      <c r="C1727" s="1957" t="s">
        <v>3813</v>
      </c>
      <c r="D1727" s="1870"/>
      <c r="E1727" s="1790"/>
      <c r="F1727" s="1794">
        <f>'Part IX Scoring Criteria'!F79</f>
        <v>33.709698000000003</v>
      </c>
      <c r="G1727" s="1794">
        <f>'Part IX Scoring Criteria'!G79</f>
        <v>0</v>
      </c>
      <c r="H1727" s="1794"/>
      <c r="I1727" s="1794"/>
      <c r="J1727" s="1794">
        <f>'Part IX Scoring Criteria'!J79</f>
        <v>-84.384882000000005</v>
      </c>
      <c r="K1727" s="1794">
        <f>'Part IX Scoring Criteria'!K79</f>
        <v>0</v>
      </c>
      <c r="L1727" s="1794"/>
      <c r="M1727" s="1794"/>
      <c r="N1727" s="2098"/>
      <c r="O1727" s="1315"/>
      <c r="P1727" s="1315"/>
      <c r="Q1727" s="1955"/>
      <c r="R1727" s="2085"/>
      <c r="S1727" s="2085"/>
      <c r="T1727" s="2085"/>
      <c r="U1727" s="2085"/>
      <c r="V1727" s="1315"/>
      <c r="W1727" s="1315"/>
      <c r="X1727" s="1315"/>
    </row>
    <row r="1728" spans="1:24" ht="15" customHeight="1">
      <c r="A1728" s="2186" t="s">
        <v>3948</v>
      </c>
      <c r="B1728" s="2186"/>
      <c r="C1728" s="1315"/>
      <c r="D1728" s="457" t="s">
        <v>3815</v>
      </c>
      <c r="E1728" s="1790"/>
      <c r="F1728" s="1794">
        <f>'Part IX Scoring Criteria'!F80</f>
        <v>33.711246000000003</v>
      </c>
      <c r="G1728" s="1794">
        <f>'Part IX Scoring Criteria'!G80</f>
        <v>0</v>
      </c>
      <c r="H1728" s="1794"/>
      <c r="I1728" s="1794"/>
      <c r="J1728" s="1794">
        <f>'Part IX Scoring Criteria'!J80</f>
        <v>-84.382003999999995</v>
      </c>
      <c r="K1728" s="1794">
        <f>'Part IX Scoring Criteria'!K80</f>
        <v>0</v>
      </c>
      <c r="L1728" s="1794"/>
      <c r="M1728" s="1794"/>
      <c r="N1728" s="2098"/>
      <c r="O1728" s="2187">
        <f>'Part IX Scoring Criteria'!O80</f>
        <v>0.25</v>
      </c>
      <c r="P1728" s="2187"/>
      <c r="Q1728" s="1955"/>
      <c r="R1728" s="2085"/>
      <c r="S1728" s="2085"/>
      <c r="T1728" s="2085"/>
      <c r="U1728" s="2085"/>
      <c r="V1728" s="1315"/>
      <c r="W1728" s="1315"/>
      <c r="X1728" s="1315"/>
    </row>
    <row r="1729" spans="1:24" ht="14.4">
      <c r="A1729" s="2186"/>
      <c r="B1729" s="2186"/>
      <c r="C1729" s="1957" t="s">
        <v>3911</v>
      </c>
      <c r="D1729" s="1870"/>
      <c r="E1729" s="1790"/>
      <c r="F1729" s="1794">
        <f>'Part IX Scoring Criteria'!F81</f>
        <v>0</v>
      </c>
      <c r="G1729" s="1794">
        <f>'Part IX Scoring Criteria'!G81</f>
        <v>0</v>
      </c>
      <c r="H1729" s="1794"/>
      <c r="I1729" s="1794"/>
      <c r="J1729" s="1794">
        <f>'Part IX Scoring Criteria'!J81</f>
        <v>0</v>
      </c>
      <c r="K1729" s="1794">
        <f>'Part IX Scoring Criteria'!K81</f>
        <v>0</v>
      </c>
      <c r="L1729" s="1794"/>
      <c r="M1729" s="1794"/>
      <c r="N1729" s="2098"/>
      <c r="O1729" s="2098"/>
      <c r="P1729" s="2098"/>
      <c r="Q1729" s="1955"/>
      <c r="R1729" s="2085"/>
      <c r="S1729" s="2085"/>
      <c r="T1729" s="2085"/>
      <c r="U1729" s="2085"/>
      <c r="V1729" s="1315"/>
      <c r="W1729" s="1315"/>
      <c r="X1729" s="1315"/>
    </row>
    <row r="1730" spans="1:24" ht="14.4">
      <c r="A1730" s="2186"/>
      <c r="B1730" s="2186"/>
      <c r="C1730" s="1315"/>
      <c r="D1730" s="1315"/>
      <c r="E1730" s="2098" t="s">
        <v>3910</v>
      </c>
      <c r="F1730" s="1794">
        <f>'Part IX Scoring Criteria'!F82</f>
        <v>0</v>
      </c>
      <c r="G1730" s="1794">
        <f>'Part IX Scoring Criteria'!G82</f>
        <v>0</v>
      </c>
      <c r="H1730" s="1794"/>
      <c r="I1730" s="1794"/>
      <c r="J1730" s="1794">
        <f>'Part IX Scoring Criteria'!J82</f>
        <v>0</v>
      </c>
      <c r="K1730" s="1794">
        <f>'Part IX Scoring Criteria'!K82</f>
        <v>0</v>
      </c>
      <c r="L1730" s="1794"/>
      <c r="M1730" s="1794"/>
      <c r="N1730" s="2098"/>
      <c r="O1730" s="2187">
        <f>'Part IX Scoring Criteria'!O82</f>
        <v>0</v>
      </c>
      <c r="P1730" s="2187"/>
      <c r="Q1730" s="1955"/>
      <c r="R1730" s="2085"/>
      <c r="S1730" s="2085"/>
      <c r="T1730" s="2085"/>
      <c r="U1730" s="2085"/>
      <c r="V1730" s="1315"/>
      <c r="W1730" s="1315"/>
      <c r="X1730" s="1315"/>
    </row>
    <row r="1731" spans="1:24" ht="14.4">
      <c r="A1731" s="2159"/>
      <c r="B1731" s="1995"/>
      <c r="C1731" s="1315"/>
      <c r="D1731" s="2180"/>
      <c r="E1731" s="1315"/>
      <c r="F1731" s="1315"/>
      <c r="G1731" s="1315"/>
      <c r="H1731" s="1997"/>
      <c r="I1731" s="1997"/>
      <c r="J1731" s="1957"/>
      <c r="K1731" s="1957"/>
      <c r="L1731" s="1315"/>
      <c r="M1731" s="1955"/>
      <c r="N1731" s="2098"/>
      <c r="O1731" s="2028"/>
      <c r="P1731" s="2028"/>
      <c r="Q1731" s="1955"/>
      <c r="R1731" s="2085"/>
      <c r="S1731" s="2085"/>
      <c r="T1731" s="2085"/>
      <c r="U1731" s="2085"/>
      <c r="V1731" s="1315"/>
      <c r="W1731" s="1315"/>
      <c r="X1731" s="1315"/>
    </row>
    <row r="1732" spans="1:24" ht="14.4">
      <c r="A1732" s="2188" t="s">
        <v>2739</v>
      </c>
      <c r="B1732" s="1995"/>
      <c r="C1732" s="1315"/>
      <c r="D1732" s="2180"/>
      <c r="E1732" s="1315"/>
      <c r="F1732" s="2010" t="s">
        <v>5077</v>
      </c>
      <c r="G1732" s="1315"/>
      <c r="H1732" s="1315"/>
      <c r="I1732" s="1315"/>
      <c r="J1732" s="1315"/>
      <c r="K1732" s="1315"/>
      <c r="L1732" s="1315"/>
      <c r="M1732" s="1955"/>
      <c r="N1732" s="1955"/>
      <c r="O1732" s="1955"/>
      <c r="P1732" s="1955"/>
      <c r="Q1732" s="1955"/>
      <c r="R1732" s="2085"/>
      <c r="S1732" s="2085"/>
      <c r="T1732" s="2085"/>
      <c r="U1732" s="2085"/>
      <c r="V1732" s="1315"/>
      <c r="W1732" s="1315"/>
      <c r="X1732" s="1315"/>
    </row>
    <row r="1733" spans="1:24" ht="14.4">
      <c r="A1733" s="2188"/>
      <c r="B1733" s="1995"/>
      <c r="C1733" s="1315"/>
      <c r="D1733" s="2180"/>
      <c r="E1733" s="1315"/>
      <c r="F1733" s="2010"/>
      <c r="G1733" s="1315"/>
      <c r="H1733" s="1315"/>
      <c r="I1733" s="1315"/>
      <c r="J1733" s="1315"/>
      <c r="K1733" s="1315"/>
      <c r="L1733" s="1315"/>
      <c r="M1733" s="1955"/>
      <c r="N1733" s="1955"/>
      <c r="O1733" s="1955"/>
      <c r="P1733" s="1955"/>
      <c r="Q1733" s="1955"/>
      <c r="R1733" s="2085"/>
      <c r="S1733" s="2085"/>
      <c r="T1733" s="2085"/>
      <c r="U1733" s="2085"/>
      <c r="V1733" s="1315"/>
      <c r="W1733" s="1315"/>
      <c r="X1733" s="1315"/>
    </row>
    <row r="1734" spans="1:24" ht="14.4">
      <c r="A1734" s="2101" t="s">
        <v>1957</v>
      </c>
      <c r="B1734" s="1957" t="s">
        <v>3638</v>
      </c>
      <c r="C1734" s="1315"/>
      <c r="D1734" s="2180"/>
      <c r="E1734" s="1315"/>
      <c r="F1734" s="1997" t="s">
        <v>5078</v>
      </c>
      <c r="G1734" s="1315"/>
      <c r="H1734" s="1315"/>
      <c r="I1734" s="1315"/>
      <c r="J1734" s="1315"/>
      <c r="K1734" s="1315"/>
      <c r="L1734" s="1315"/>
      <c r="M1734" s="1955">
        <v>6</v>
      </c>
      <c r="N1734" s="2137" t="s">
        <v>1957</v>
      </c>
      <c r="O1734" s="2028">
        <f>'Part IX Scoring Criteria'!O86</f>
        <v>0</v>
      </c>
      <c r="P1734" s="2028">
        <f>IF($J$72="Flexible",MIN($M1734,P1735+P1736+P1737),0)</f>
        <v>0</v>
      </c>
      <c r="Q1734" s="1955"/>
      <c r="R1734" s="1315"/>
      <c r="S1734" s="1315"/>
      <c r="T1734" s="1315"/>
      <c r="U1734" s="1315"/>
      <c r="V1734" s="1315"/>
      <c r="W1734" s="1315"/>
      <c r="X1734" s="1315"/>
    </row>
    <row r="1735" spans="1:24" ht="15" customHeight="1">
      <c r="A1735" s="2138"/>
      <c r="B1735" s="2136" t="s">
        <v>1960</v>
      </c>
      <c r="C1735" s="2064" t="s">
        <v>5079</v>
      </c>
      <c r="D1735" s="2064"/>
      <c r="E1735" s="2064"/>
      <c r="F1735" s="2064"/>
      <c r="G1735" s="2064"/>
      <c r="H1735" s="2064"/>
      <c r="I1735" s="2189" t="s">
        <v>5080</v>
      </c>
      <c r="J1735" s="2189"/>
      <c r="K1735" s="2189"/>
      <c r="L1735" s="2189"/>
      <c r="M1735" s="2190">
        <v>5</v>
      </c>
      <c r="N1735" s="2136" t="s">
        <v>1960</v>
      </c>
      <c r="O1735" s="2120">
        <f>'Part IX Scoring Criteria'!O87</f>
        <v>0</v>
      </c>
      <c r="P1735" s="2120"/>
      <c r="Q1735" s="2173" t="str">
        <f>IF(OR($O1735=$M1735,$O1735=0,$O1735=""),"","*CHECK!*")</f>
        <v/>
      </c>
      <c r="R1735" s="1786" t="s">
        <v>2667</v>
      </c>
      <c r="S1735" s="2138"/>
      <c r="T1735" s="2138"/>
      <c r="U1735" s="2138"/>
      <c r="V1735" s="2138"/>
      <c r="W1735" s="2138"/>
      <c r="X1735" s="2138"/>
    </row>
    <row r="1736" spans="1:24" ht="15" customHeight="1">
      <c r="A1736" s="1314" t="s">
        <v>1338</v>
      </c>
      <c r="B1736" s="2136" t="s">
        <v>1962</v>
      </c>
      <c r="C1736" s="2061" t="s">
        <v>5081</v>
      </c>
      <c r="D1736" s="2061"/>
      <c r="E1736" s="2061"/>
      <c r="F1736" s="2061"/>
      <c r="G1736" s="2061"/>
      <c r="H1736" s="1314" t="str">
        <f>IF(AND(O1736&gt;0,O1735&gt;0),"Pick A1 or A2!","")</f>
        <v/>
      </c>
      <c r="I1736" s="2189"/>
      <c r="J1736" s="2189"/>
      <c r="K1736" s="2189"/>
      <c r="L1736" s="2189"/>
      <c r="M1736" s="1955">
        <v>4</v>
      </c>
      <c r="N1736" s="2184" t="s">
        <v>1962</v>
      </c>
      <c r="O1736" s="2028">
        <f>'Part IX Scoring Criteria'!O88</f>
        <v>0</v>
      </c>
      <c r="P1736" s="2028"/>
      <c r="Q1736" s="2173" t="str">
        <f>IF(OR($O1736=$M1736,$O1736=0,$O1736=""),"","*CHECK!*")</f>
        <v/>
      </c>
      <c r="R1736" s="1786" t="s">
        <v>2667</v>
      </c>
      <c r="S1736" s="2138"/>
      <c r="T1736" s="2138"/>
      <c r="U1736" s="2138"/>
      <c r="V1736" s="2138"/>
      <c r="W1736" s="2138"/>
      <c r="X1736" s="2138"/>
    </row>
    <row r="1737" spans="1:24" ht="15" customHeight="1">
      <c r="A1737" s="2138"/>
      <c r="B1737" s="2136" t="s">
        <v>2501</v>
      </c>
      <c r="C1737" s="2061" t="s">
        <v>3639</v>
      </c>
      <c r="D1737" s="2061"/>
      <c r="E1737" s="2061"/>
      <c r="F1737" s="2061"/>
      <c r="G1737" s="2138"/>
      <c r="H1737" s="2138"/>
      <c r="I1737" s="2189"/>
      <c r="J1737" s="2189"/>
      <c r="K1737" s="2189"/>
      <c r="L1737" s="2189"/>
      <c r="M1737" s="1955">
        <v>1</v>
      </c>
      <c r="N1737" s="2184" t="s">
        <v>2501</v>
      </c>
      <c r="O1737" s="2028">
        <f>'Part IX Scoring Criteria'!O89</f>
        <v>0</v>
      </c>
      <c r="P1737" s="2028"/>
      <c r="Q1737" s="2173" t="str">
        <f>IF(OR($O1737=$M1737,$O1737=0,$O1737=""),"","*CHECK!*")</f>
        <v/>
      </c>
      <c r="R1737" s="1786" t="s">
        <v>2667</v>
      </c>
      <c r="S1737" s="2138"/>
      <c r="T1737" s="2138"/>
      <c r="U1737" s="2138"/>
      <c r="V1737" s="2138"/>
      <c r="W1737" s="2138"/>
      <c r="X1737" s="2138"/>
    </row>
    <row r="1738" spans="1:24" ht="15" customHeight="1">
      <c r="A1738" s="2138"/>
      <c r="B1738" s="2136"/>
      <c r="C1738" s="1886" t="s">
        <v>3909</v>
      </c>
      <c r="D1738" s="2061"/>
      <c r="E1738" s="2061"/>
      <c r="F1738" s="1828" t="str">
        <f>'Part I-Project Information'!$H$82</f>
        <v>Family</v>
      </c>
      <c r="G1738" s="1886"/>
      <c r="H1738" s="1828"/>
      <c r="I1738" s="2189"/>
      <c r="J1738" s="2189"/>
      <c r="K1738" s="2189"/>
      <c r="L1738" s="2189"/>
      <c r="M1738" s="2122"/>
      <c r="N1738" s="2122"/>
      <c r="O1738" s="2122"/>
      <c r="P1738" s="2122"/>
      <c r="Q1738" s="2121"/>
      <c r="R1738" s="2011"/>
      <c r="S1738" s="2138"/>
      <c r="T1738" s="2138"/>
      <c r="U1738" s="2138"/>
      <c r="V1738" s="2138"/>
      <c r="W1738" s="2138"/>
      <c r="X1738" s="2138"/>
    </row>
    <row r="1739" spans="1:24" ht="15" customHeight="1">
      <c r="A1739" s="2138"/>
      <c r="B1739" s="2136"/>
      <c r="C1739" s="1886"/>
      <c r="D1739" s="2061"/>
      <c r="E1739" s="2061"/>
      <c r="F1739" s="1828"/>
      <c r="G1739" s="1886"/>
      <c r="H1739" s="1828"/>
      <c r="I1739" s="2189"/>
      <c r="J1739" s="2189"/>
      <c r="K1739" s="2189"/>
      <c r="L1739" s="2189"/>
      <c r="M1739" s="2122"/>
      <c r="N1739" s="2122"/>
      <c r="O1739" s="2122"/>
      <c r="P1739" s="2122"/>
      <c r="Q1739" s="2121"/>
      <c r="R1739" s="2011"/>
      <c r="S1739" s="2138"/>
      <c r="T1739" s="2138"/>
      <c r="U1739" s="2138"/>
      <c r="V1739" s="2138"/>
      <c r="W1739" s="2138"/>
      <c r="X1739" s="2138"/>
    </row>
    <row r="1740" spans="1:24" ht="15" customHeight="1">
      <c r="A1740" s="2101" t="s">
        <v>1959</v>
      </c>
      <c r="B1740" s="1201" t="s">
        <v>3640</v>
      </c>
      <c r="C1740" s="1201"/>
      <c r="D1740" s="1201"/>
      <c r="E1740" s="1201"/>
      <c r="F1740" s="2066" t="s">
        <v>5082</v>
      </c>
      <c r="G1740" s="2138"/>
      <c r="H1740" s="2138"/>
      <c r="I1740" s="1852" t="str">
        <f>'Part IX Scoring Criteria'!I92</f>
        <v>MARTA</v>
      </c>
      <c r="J1740" s="1852"/>
      <c r="K1740" s="1852"/>
      <c r="L1740" s="2191">
        <f>'Part IX Scoring Criteria'!L92</f>
        <v>4048485000</v>
      </c>
      <c r="M1740" s="1955">
        <v>3</v>
      </c>
      <c r="N1740" s="2098" t="s">
        <v>1959</v>
      </c>
      <c r="O1740" s="2028">
        <f>'Part IX Scoring Criteria'!O92</f>
        <v>3</v>
      </c>
      <c r="P1740" s="2028">
        <f>IF($J$72="Flexible",MIN($M1740,P1743+P1744+P1745),0)</f>
        <v>0</v>
      </c>
      <c r="Q1740" s="2143"/>
      <c r="R1740" s="2011"/>
      <c r="S1740" s="2138"/>
      <c r="T1740" s="2138"/>
      <c r="U1740" s="2138"/>
      <c r="V1740" s="2138"/>
      <c r="W1740" s="2138"/>
      <c r="X1740" s="2138"/>
    </row>
    <row r="1741" spans="1:24" ht="14.4">
      <c r="A1741" s="2159"/>
      <c r="B1741" s="2098" t="s">
        <v>3668</v>
      </c>
      <c r="C1741" s="1786" t="s">
        <v>4487</v>
      </c>
      <c r="D1741" s="2181"/>
      <c r="E1741" s="2122"/>
      <c r="F1741" s="2122"/>
      <c r="G1741" s="2122"/>
      <c r="H1741" s="1997"/>
      <c r="I1741" s="1852"/>
      <c r="J1741" s="1852"/>
      <c r="K1741" s="1852"/>
      <c r="L1741" s="2191"/>
      <c r="M1741" s="2122"/>
      <c r="N1741" s="2098" t="s">
        <v>3668</v>
      </c>
      <c r="O1741" s="1314" t="str">
        <f>'Part IX Scoring Criteria'!O93</f>
        <v>Yes</v>
      </c>
      <c r="P1741" s="1314"/>
      <c r="Q1741" s="1955"/>
      <c r="R1741" s="2011"/>
      <c r="S1741" s="2138"/>
      <c r="T1741" s="2138"/>
      <c r="U1741" s="2138"/>
      <c r="V1741" s="1315"/>
      <c r="W1741" s="1315"/>
      <c r="X1741" s="1315"/>
    </row>
    <row r="1742" spans="1:24" ht="15" customHeight="1">
      <c r="A1742" s="2159"/>
      <c r="B1742" s="2098" t="s">
        <v>3669</v>
      </c>
      <c r="C1742" s="1786" t="s">
        <v>4486</v>
      </c>
      <c r="D1742" s="2181"/>
      <c r="E1742" s="2122"/>
      <c r="F1742" s="2122"/>
      <c r="G1742" s="2122"/>
      <c r="H1742" s="1997"/>
      <c r="I1742" s="1852" t="str">
        <f>'Part IX Scoring Criteria'!I94</f>
        <v>custserv@itsmarta.com</v>
      </c>
      <c r="J1742" s="1852"/>
      <c r="K1742" s="1852"/>
      <c r="L1742" s="1852"/>
      <c r="M1742" s="2122"/>
      <c r="N1742" s="2098" t="s">
        <v>3669</v>
      </c>
      <c r="O1742" s="1314" t="str">
        <f>'Part IX Scoring Criteria'!O94</f>
        <v>Yes</v>
      </c>
      <c r="P1742" s="1314"/>
      <c r="Q1742" s="1955"/>
      <c r="R1742" s="2011"/>
      <c r="S1742" s="2138"/>
      <c r="T1742" s="2138"/>
      <c r="U1742" s="2138"/>
      <c r="V1742" s="1315"/>
      <c r="W1742" s="1315"/>
      <c r="X1742" s="1315"/>
    </row>
    <row r="1743" spans="1:24" ht="15" customHeight="1">
      <c r="A1743" s="1981"/>
      <c r="B1743" s="2192" t="s">
        <v>1960</v>
      </c>
      <c r="C1743" s="2031" t="s">
        <v>5083</v>
      </c>
      <c r="D1743" s="2031"/>
      <c r="E1743" s="2031"/>
      <c r="F1743" s="2031"/>
      <c r="G1743" s="2031"/>
      <c r="H1743" s="2031"/>
      <c r="I1743" s="1852"/>
      <c r="J1743" s="1852"/>
      <c r="K1743" s="1852"/>
      <c r="L1743" s="1852"/>
      <c r="M1743" s="1955">
        <v>3</v>
      </c>
      <c r="N1743" s="2184" t="s">
        <v>1960</v>
      </c>
      <c r="O1743" s="2028">
        <f>'Part IX Scoring Criteria'!O95</f>
        <v>3</v>
      </c>
      <c r="P1743" s="2028"/>
      <c r="Q1743" s="2121" t="str">
        <f>IF(OR($O1743=$M1743,$O1743=0,$O1743=""),"","*CHECK!*")</f>
        <v/>
      </c>
      <c r="R1743" s="2011" t="s">
        <v>2667</v>
      </c>
      <c r="S1743" s="2138"/>
      <c r="T1743" s="2138"/>
      <c r="U1743" s="2138"/>
      <c r="V1743" s="2138"/>
      <c r="W1743" s="2138"/>
      <c r="X1743" s="2138"/>
    </row>
    <row r="1744" spans="1:24" ht="15" customHeight="1">
      <c r="A1744" s="1314" t="s">
        <v>1338</v>
      </c>
      <c r="B1744" s="2192" t="s">
        <v>1962</v>
      </c>
      <c r="C1744" s="2031" t="s">
        <v>5084</v>
      </c>
      <c r="D1744" s="2031"/>
      <c r="E1744" s="2031"/>
      <c r="F1744" s="2031"/>
      <c r="G1744" s="2031"/>
      <c r="H1744" s="2031"/>
      <c r="I1744" s="1852" t="str">
        <f>'Part IX Scoring Criteria'!I96</f>
        <v>https://www.itsmarta.com/55.aspx</v>
      </c>
      <c r="J1744" s="1852"/>
      <c r="K1744" s="1852"/>
      <c r="L1744" s="1852"/>
      <c r="M1744" s="1955">
        <v>2</v>
      </c>
      <c r="N1744" s="2184" t="s">
        <v>1962</v>
      </c>
      <c r="O1744" s="2028">
        <f>'Part IX Scoring Criteria'!O96</f>
        <v>0</v>
      </c>
      <c r="P1744" s="2028"/>
      <c r="Q1744" s="2121" t="str">
        <f>IF(OR($O1744=$M1744,$O1744=0,$O1744=""),"","*CHECK!*")</f>
        <v/>
      </c>
      <c r="R1744" s="2011" t="s">
        <v>2667</v>
      </c>
      <c r="S1744" s="1315"/>
      <c r="T1744" s="1315"/>
      <c r="U1744" s="1315"/>
      <c r="V1744" s="1315"/>
      <c r="W1744" s="1315"/>
      <c r="X1744" s="1315"/>
    </row>
    <row r="1745" spans="1:24" ht="15" customHeight="1">
      <c r="A1745" s="1314" t="s">
        <v>1338</v>
      </c>
      <c r="B1745" s="2192" t="s">
        <v>2501</v>
      </c>
      <c r="C1745" s="2031" t="s">
        <v>5085</v>
      </c>
      <c r="D1745" s="2031"/>
      <c r="E1745" s="2031"/>
      <c r="F1745" s="2031"/>
      <c r="G1745" s="2031"/>
      <c r="H1745" s="2031"/>
      <c r="I1745" s="1852"/>
      <c r="J1745" s="1852"/>
      <c r="K1745" s="1852"/>
      <c r="L1745" s="1852"/>
      <c r="M1745" s="1955">
        <v>1</v>
      </c>
      <c r="N1745" s="2184" t="s">
        <v>2501</v>
      </c>
      <c r="O1745" s="2028">
        <f>'Part IX Scoring Criteria'!O97</f>
        <v>0</v>
      </c>
      <c r="P1745" s="2028"/>
      <c r="Q1745" s="2121" t="str">
        <f>IF(OR($O1745=$M1745,$O1745=0,$O1745=""),"","*CHECK!*")</f>
        <v/>
      </c>
      <c r="R1745" s="2011" t="s">
        <v>2667</v>
      </c>
      <c r="S1745" s="1315"/>
      <c r="T1745" s="1315"/>
      <c r="U1745" s="1315"/>
      <c r="V1745" s="1315"/>
      <c r="W1745" s="1315"/>
      <c r="X1745" s="1315"/>
    </row>
    <row r="1746" spans="1:24" ht="15" customHeight="1">
      <c r="A1746" s="2096"/>
      <c r="B1746" s="2193"/>
      <c r="C1746" s="2068"/>
      <c r="D1746" s="2068"/>
      <c r="E1746" s="2068"/>
      <c r="F1746" s="457" t="str">
        <f>IF(OR(AND(O1743&gt;0,O1744&gt;0,O1745&gt;0),AND(O1743&gt;0,O1744&gt;0),AND(O1743&gt;0,O1745&gt;0),AND(O1744&gt;0,O1745&gt;0)),"Choose only one option: B1 or B2 or B3!","")</f>
        <v/>
      </c>
      <c r="G1746" s="457"/>
      <c r="H1746" s="457"/>
      <c r="I1746" s="1852" t="str">
        <f>'Part IX Scoring Criteria'!I98</f>
        <v>https://www.itsmarta.com/pdfs/maps/55.pdf</v>
      </c>
      <c r="J1746" s="1852"/>
      <c r="K1746" s="1852"/>
      <c r="L1746" s="1852"/>
      <c r="M1746" s="2122"/>
      <c r="N1746" s="2122"/>
      <c r="O1746" s="2122"/>
      <c r="P1746" s="2122"/>
      <c r="Q1746" s="2121"/>
      <c r="R1746" s="2011"/>
      <c r="S1746" s="1315"/>
      <c r="T1746" s="1315"/>
      <c r="U1746" s="1315"/>
      <c r="V1746" s="1315"/>
      <c r="W1746" s="1315"/>
      <c r="X1746" s="1315"/>
    </row>
    <row r="1747" spans="1:24" ht="14.4">
      <c r="A1747" s="2188" t="s">
        <v>2741</v>
      </c>
      <c r="B1747" s="1957"/>
      <c r="C1747" s="1315"/>
      <c r="D1747" s="1315"/>
      <c r="E1747" s="2180"/>
      <c r="F1747" s="1315"/>
      <c r="G1747" s="1315"/>
      <c r="H1747" s="1315"/>
      <c r="I1747" s="1852"/>
      <c r="J1747" s="1852"/>
      <c r="K1747" s="1852"/>
      <c r="L1747" s="1852"/>
      <c r="M1747" s="1955"/>
      <c r="N1747" s="1955"/>
      <c r="O1747" s="1955"/>
      <c r="P1747" s="1955"/>
      <c r="Q1747" s="2142"/>
      <c r="R1747" s="2142"/>
      <c r="S1747" s="1315"/>
      <c r="T1747" s="1315"/>
      <c r="U1747" s="1315"/>
      <c r="V1747" s="1315"/>
      <c r="W1747" s="1315"/>
      <c r="X1747" s="1315"/>
    </row>
    <row r="1748" spans="1:24" ht="15" customHeight="1">
      <c r="A1748" s="1981"/>
      <c r="B1748" s="2136" t="s">
        <v>1209</v>
      </c>
      <c r="C1748" s="2005" t="s">
        <v>5086</v>
      </c>
      <c r="D1748" s="2005"/>
      <c r="E1748" s="2005"/>
      <c r="F1748" s="2005"/>
      <c r="G1748" s="2005"/>
      <c r="H1748" s="2005"/>
      <c r="I1748" s="1957"/>
      <c r="J1748" s="1957"/>
      <c r="K1748" s="1957"/>
      <c r="L1748" s="1957"/>
      <c r="M1748" s="1955">
        <v>2</v>
      </c>
      <c r="N1748" s="2184" t="s">
        <v>1209</v>
      </c>
      <c r="O1748" s="2028">
        <f>'Part IX Scoring Criteria'!O100</f>
        <v>0</v>
      </c>
      <c r="P1748" s="2028"/>
      <c r="Q1748" s="2121" t="str">
        <f>IF(OR($O1748=$M1748,$O1748=0,$O1748=""),"","*CHECK!*")</f>
        <v/>
      </c>
      <c r="R1748" s="2011" t="s">
        <v>2667</v>
      </c>
      <c r="S1748" s="2122"/>
      <c r="T1748" s="2122"/>
      <c r="U1748" s="2122"/>
      <c r="V1748" s="2122"/>
      <c r="W1748" s="2122"/>
      <c r="X1748" s="2122"/>
    </row>
    <row r="1749" spans="1:24" ht="14.4">
      <c r="A1749" s="1981"/>
      <c r="B1749" s="2136"/>
      <c r="C1749" s="2005"/>
      <c r="D1749" s="2005"/>
      <c r="E1749" s="2005"/>
      <c r="F1749" s="2005"/>
      <c r="G1749" s="2005"/>
      <c r="H1749" s="2005"/>
      <c r="I1749" s="1957"/>
      <c r="J1749" s="1957"/>
      <c r="K1749" s="1957"/>
      <c r="L1749" s="1957"/>
      <c r="M1749" s="1957"/>
      <c r="N1749" s="1957"/>
      <c r="O1749" s="1957"/>
      <c r="P1749" s="1957"/>
      <c r="Q1749" s="2121"/>
      <c r="R1749" s="2011"/>
      <c r="S1749" s="2122"/>
      <c r="T1749" s="2122"/>
      <c r="U1749" s="2122"/>
      <c r="V1749" s="2122"/>
      <c r="W1749" s="2122"/>
      <c r="X1749" s="2122"/>
    </row>
    <row r="1750" spans="1:24" ht="14.4">
      <c r="A1750" s="457" t="s">
        <v>5087</v>
      </c>
      <c r="B1750" s="1957"/>
      <c r="C1750" s="1315"/>
      <c r="D1750" s="1315"/>
      <c r="E1750" s="2180"/>
      <c r="F1750" s="1315"/>
      <c r="G1750" s="1315"/>
      <c r="H1750" s="1315"/>
      <c r="I1750" s="1315"/>
      <c r="J1750" s="1315"/>
      <c r="K1750" s="1957"/>
      <c r="L1750" s="1315"/>
      <c r="M1750" s="1955"/>
      <c r="N1750" s="1955"/>
      <c r="O1750" s="1955"/>
      <c r="P1750" s="1955"/>
      <c r="Q1750" s="2142"/>
      <c r="R1750" s="2142"/>
      <c r="S1750" s="1315"/>
      <c r="T1750" s="1315"/>
      <c r="U1750" s="1315"/>
      <c r="V1750" s="1315"/>
      <c r="W1750" s="1315"/>
      <c r="X1750" s="1315"/>
    </row>
    <row r="1751" spans="1:24" ht="14.4">
      <c r="A1751" s="1311"/>
      <c r="B1751" s="1997" t="s">
        <v>1841</v>
      </c>
      <c r="C1751" s="1311"/>
      <c r="D1751" s="1997"/>
      <c r="E1751" s="1994"/>
      <c r="F1751" s="1994"/>
      <c r="G1751" s="1994"/>
      <c r="H1751" s="1994"/>
      <c r="I1751" s="1994"/>
      <c r="J1751" s="1994"/>
      <c r="K1751" s="1994"/>
      <c r="L1751" s="1994"/>
      <c r="M1751" s="1994"/>
      <c r="N1751" s="1967"/>
      <c r="O1751" s="1967"/>
      <c r="P1751" s="1955"/>
      <c r="Q1751" s="2123"/>
      <c r="R1751" s="2122"/>
      <c r="S1751" s="2122"/>
      <c r="T1751" s="2122"/>
      <c r="U1751" s="2122"/>
      <c r="V1751" s="2122"/>
      <c r="W1751" s="2122"/>
      <c r="X1751" s="2122"/>
    </row>
    <row r="1752" spans="1:24" ht="15">
      <c r="A1752" s="2064"/>
      <c r="B1752" s="2064"/>
      <c r="C1752" s="2064"/>
      <c r="D1752" s="2064"/>
      <c r="E1752" s="2064"/>
      <c r="F1752" s="2064"/>
      <c r="G1752" s="2064"/>
      <c r="H1752" s="2064"/>
      <c r="I1752" s="2064"/>
      <c r="J1752" s="2064"/>
      <c r="K1752" s="2064"/>
      <c r="L1752" s="2064"/>
      <c r="M1752" s="2064"/>
      <c r="N1752" s="2064"/>
      <c r="O1752" s="2064"/>
      <c r="P1752" s="2064"/>
      <c r="Q1752" s="2065"/>
      <c r="R1752" s="1315"/>
      <c r="S1752" s="1315"/>
      <c r="T1752" s="1315"/>
      <c r="U1752" s="1315"/>
      <c r="V1752" s="1315"/>
      <c r="W1752" s="1315"/>
      <c r="X1752" s="1315"/>
    </row>
    <row r="1753" spans="1:24" ht="14.4">
      <c r="N1753" s="1953"/>
      <c r="O1753" s="1953"/>
      <c r="P1753" s="1953"/>
      <c r="R1753" s="1315"/>
    </row>
    <row r="1754" spans="1:24" ht="14.4">
      <c r="A1754" s="1311"/>
      <c r="B1754" s="1315"/>
      <c r="C1754" s="1315"/>
      <c r="D1754" s="457"/>
      <c r="E1754" s="457"/>
      <c r="F1754" s="1955"/>
      <c r="G1754" s="1955"/>
      <c r="H1754" s="1955"/>
      <c r="I1754" s="1955"/>
      <c r="J1754" s="2009"/>
      <c r="K1754" s="2009"/>
      <c r="L1754" s="2009"/>
      <c r="M1754" s="1314"/>
      <c r="N1754" s="1955"/>
      <c r="O1754" s="1953"/>
      <c r="P1754" s="2028"/>
      <c r="Q1754" s="1315"/>
      <c r="R1754" s="1315"/>
      <c r="S1754" s="1315"/>
      <c r="T1754" s="1315"/>
      <c r="U1754" s="1315"/>
      <c r="V1754" s="1315"/>
      <c r="W1754" s="1315"/>
      <c r="X1754" s="1315"/>
    </row>
    <row r="1755" spans="1:24" ht="14.4">
      <c r="A1755" s="2159" t="s">
        <v>1772</v>
      </c>
      <c r="B1755" s="1995" t="s">
        <v>3827</v>
      </c>
      <c r="C1755" s="1315"/>
      <c r="D1755" s="457"/>
      <c r="E1755" s="457"/>
      <c r="F1755" s="1955"/>
      <c r="G1755" s="1955"/>
      <c r="H1755" s="1955"/>
      <c r="I1755" s="2010" t="s">
        <v>5077</v>
      </c>
      <c r="J1755" s="2009"/>
      <c r="K1755" s="2009"/>
      <c r="L1755" s="2009"/>
      <c r="M1755" s="1955">
        <v>4</v>
      </c>
      <c r="N1755" s="1955"/>
      <c r="O1755" s="2028">
        <f>'Part IX Scoring Criteria'!O107</f>
        <v>4</v>
      </c>
      <c r="P1755" s="2028">
        <f>IF(AND(P1757&gt;0,P1763&gt;0),"AorB?",MIN($M$107,P1757+P1763+P1785))</f>
        <v>0</v>
      </c>
      <c r="Q1755" s="1955" t="s">
        <v>437</v>
      </c>
      <c r="R1755" s="1315"/>
      <c r="S1755" s="1315"/>
      <c r="T1755" s="1315"/>
      <c r="U1755" s="1315"/>
      <c r="V1755" s="1315"/>
      <c r="W1755" s="1315"/>
      <c r="X1755" s="1315"/>
    </row>
    <row r="1756" spans="1:24" ht="14.4">
      <c r="A1756" s="1311"/>
      <c r="B1756" s="1315"/>
      <c r="C1756" s="1315"/>
      <c r="D1756" s="457"/>
      <c r="E1756" s="457"/>
      <c r="F1756" s="1955"/>
      <c r="G1756" s="1955"/>
      <c r="H1756" s="1955"/>
      <c r="I1756" s="1955"/>
      <c r="J1756" s="2009"/>
      <c r="K1756" s="2009"/>
      <c r="L1756" s="2009"/>
      <c r="M1756" s="1314"/>
      <c r="N1756" s="1955"/>
      <c r="O1756" s="1953"/>
      <c r="P1756" s="2028"/>
      <c r="Q1756" s="1315"/>
      <c r="R1756" s="1315"/>
      <c r="S1756" s="1315"/>
      <c r="T1756" s="1315"/>
      <c r="U1756" s="1315"/>
      <c r="V1756" s="1315"/>
      <c r="W1756" s="1315"/>
      <c r="X1756" s="1315"/>
    </row>
    <row r="1757" spans="1:24" ht="14.4">
      <c r="A1757" s="1981" t="s">
        <v>1957</v>
      </c>
      <c r="B1757" s="1957" t="s">
        <v>3828</v>
      </c>
      <c r="C1757" s="2122"/>
      <c r="D1757" s="2181"/>
      <c r="E1757" s="457" t="s">
        <v>3915</v>
      </c>
      <c r="F1757" s="2122"/>
      <c r="G1757" s="2009"/>
      <c r="H1757" s="2122"/>
      <c r="I1757" s="2098" t="s">
        <v>3909</v>
      </c>
      <c r="J1757" s="2009" t="str">
        <f>'Part I-Project Information'!$H$82</f>
        <v>Family</v>
      </c>
      <c r="K1757" s="2181"/>
      <c r="L1757" s="2142" t="str">
        <f>IF(OR($O1757=$M1757,$O1757=0,$O1757=""),"","* * Check Score! * *")</f>
        <v/>
      </c>
      <c r="M1757" s="1955">
        <v>3</v>
      </c>
      <c r="N1757" s="2098" t="s">
        <v>1957</v>
      </c>
      <c r="O1757" s="2028">
        <f>'Part IX Scoring Criteria'!O109</f>
        <v>3</v>
      </c>
      <c r="P1757" s="2028"/>
      <c r="Q1757" s="2173" t="str">
        <f>IF(OR($O1757=$M1757,$O1757=0,$O1757=""),"","*CHECK!*")</f>
        <v/>
      </c>
      <c r="R1757" s="1786" t="s">
        <v>2667</v>
      </c>
      <c r="S1757" s="2122"/>
      <c r="T1757" s="2122"/>
      <c r="U1757" s="2122"/>
      <c r="V1757" s="2122"/>
      <c r="W1757" s="2122"/>
      <c r="X1757" s="2122"/>
    </row>
    <row r="1758" spans="1:24" ht="14.4">
      <c r="A1758" s="1311"/>
      <c r="B1758" s="1051" t="s">
        <v>4284</v>
      </c>
      <c r="C1758" s="1315"/>
      <c r="D1758" s="457"/>
      <c r="E1758" s="457"/>
      <c r="F1758" s="1955"/>
      <c r="G1758" s="1955"/>
      <c r="H1758" s="1955"/>
      <c r="I1758" s="1955"/>
      <c r="J1758" s="2009"/>
      <c r="K1758" s="2009"/>
      <c r="L1758" s="2009"/>
      <c r="M1758" s="1314"/>
      <c r="N1758" s="1955"/>
      <c r="O1758" s="1953"/>
      <c r="P1758" s="2028"/>
      <c r="Q1758" s="1315"/>
      <c r="R1758" s="1315"/>
      <c r="S1758" s="1315"/>
      <c r="T1758" s="1315"/>
      <c r="U1758" s="1315"/>
      <c r="V1758" s="1315"/>
      <c r="W1758" s="1315"/>
      <c r="X1758" s="1315"/>
    </row>
    <row r="1759" spans="1:24" ht="14.4">
      <c r="A1759" s="1311"/>
      <c r="B1759" s="2194" t="s">
        <v>1960</v>
      </c>
      <c r="C1759" s="457" t="s">
        <v>4787</v>
      </c>
      <c r="D1759" s="457"/>
      <c r="E1759" s="457"/>
      <c r="F1759" s="1955"/>
      <c r="G1759" s="1955"/>
      <c r="H1759" s="1955"/>
      <c r="I1759" s="1955"/>
      <c r="J1759" s="2009"/>
      <c r="K1759" s="2009"/>
      <c r="L1759" s="2009"/>
      <c r="M1759" s="1314"/>
      <c r="N1759" s="2162" t="s">
        <v>1960</v>
      </c>
      <c r="O1759" s="1314" t="str">
        <f>'Part IX Scoring Criteria'!O111</f>
        <v>Yes</v>
      </c>
      <c r="P1759" s="1314"/>
      <c r="Q1759" s="1315"/>
      <c r="R1759" s="1315"/>
      <c r="S1759" s="1315"/>
      <c r="T1759" s="1315"/>
      <c r="U1759" s="1315"/>
      <c r="V1759" s="1315"/>
      <c r="W1759" s="1315"/>
      <c r="X1759" s="1315"/>
    </row>
    <row r="1760" spans="1:24" ht="14.4">
      <c r="A1760" s="1311"/>
      <c r="B1760" s="2194" t="s">
        <v>1962</v>
      </c>
      <c r="C1760" s="457" t="s">
        <v>4788</v>
      </c>
      <c r="D1760" s="457"/>
      <c r="E1760" s="457"/>
      <c r="F1760" s="1955"/>
      <c r="G1760" s="1955"/>
      <c r="H1760" s="1955"/>
      <c r="I1760" s="1955"/>
      <c r="J1760" s="2009"/>
      <c r="K1760" s="2009"/>
      <c r="L1760" s="2009"/>
      <c r="M1760" s="1314"/>
      <c r="N1760" s="2162" t="s">
        <v>1962</v>
      </c>
      <c r="O1760" s="1314" t="str">
        <f>'Part IX Scoring Criteria'!O112</f>
        <v>Yes</v>
      </c>
      <c r="P1760" s="1314"/>
      <c r="Q1760" s="1315"/>
      <c r="R1760" s="1315"/>
      <c r="S1760" s="1315"/>
      <c r="T1760" s="1315"/>
      <c r="U1760" s="1315"/>
      <c r="V1760" s="1315"/>
      <c r="W1760" s="1315"/>
      <c r="X1760" s="1315"/>
    </row>
    <row r="1761" spans="1:24" ht="377.4">
      <c r="A1761" s="2098"/>
      <c r="B1761" s="2194" t="s">
        <v>2501</v>
      </c>
      <c r="C1761" s="457" t="s">
        <v>4491</v>
      </c>
      <c r="D1761" s="457"/>
      <c r="E1761" s="2031" t="str">
        <f>'Part IX Scoring Criteria'!E113</f>
        <v>Purpose Built Communities will be partnering with the project owner to offer an after-school enrichment chess club for Elementary and Middle school aged residents.  PBSA will lead a Chess Club at the Haven at South Atlanta clubhouse. A description of the meeting location has been included in the Education Outcomes LOI. Additionally, the LOI documents the sources that will be utilized to fund the program, measurable outcomes and how they will be measured, as well as roles and responsibilities.</v>
      </c>
      <c r="F1761" s="2031">
        <f>'Part IX Scoring Criteria'!F113</f>
        <v>0</v>
      </c>
      <c r="G1761" s="2031">
        <f>'Part IX Scoring Criteria'!G113</f>
        <v>0</v>
      </c>
      <c r="H1761" s="2031">
        <f>'Part IX Scoring Criteria'!H113</f>
        <v>0</v>
      </c>
      <c r="I1761" s="2031">
        <f>'Part IX Scoring Criteria'!I113</f>
        <v>0</v>
      </c>
      <c r="J1761" s="2031">
        <f>'Part IX Scoring Criteria'!J113</f>
        <v>0</v>
      </c>
      <c r="K1761" s="2031">
        <f>'Part IX Scoring Criteria'!K113</f>
        <v>0</v>
      </c>
      <c r="L1761" s="2031">
        <f>'Part IX Scoring Criteria'!L113</f>
        <v>0</v>
      </c>
      <c r="M1761" s="2031">
        <f>'Part IX Scoring Criteria'!M113</f>
        <v>0</v>
      </c>
      <c r="N1761" s="2031">
        <f>'Part IX Scoring Criteria'!N113</f>
        <v>0</v>
      </c>
      <c r="O1761" s="2031">
        <f>'Part IX Scoring Criteria'!O113</f>
        <v>0</v>
      </c>
      <c r="P1761" s="2031">
        <f>'Part IX Scoring Criteria'!P113</f>
        <v>0</v>
      </c>
      <c r="Q1761" s="2146"/>
      <c r="R1761" s="2146"/>
      <c r="S1761" s="2146"/>
      <c r="T1761" s="2146"/>
      <c r="U1761" s="457"/>
      <c r="V1761" s="457"/>
      <c r="W1761" s="457"/>
      <c r="X1761" s="457"/>
    </row>
    <row r="1762" spans="1:24" ht="14.4">
      <c r="A1762" s="1311"/>
      <c r="B1762" s="1315"/>
      <c r="C1762" s="1315"/>
      <c r="D1762" s="457"/>
      <c r="E1762" s="457"/>
      <c r="F1762" s="1955"/>
      <c r="G1762" s="1955"/>
      <c r="H1762" s="1955"/>
      <c r="I1762" s="1955"/>
      <c r="J1762" s="2009"/>
      <c r="K1762" s="2009"/>
      <c r="L1762" s="2009"/>
      <c r="M1762" s="1314"/>
      <c r="N1762" s="1955"/>
      <c r="O1762" s="1953"/>
      <c r="P1762" s="2028"/>
      <c r="Q1762" s="1315"/>
      <c r="R1762" s="1315"/>
      <c r="S1762" s="1315"/>
      <c r="T1762" s="1315"/>
      <c r="U1762" s="1315"/>
      <c r="V1762" s="1315"/>
      <c r="W1762" s="1315"/>
      <c r="X1762" s="1315"/>
    </row>
    <row r="1763" spans="1:24" ht="18">
      <c r="A1763" s="1981" t="s">
        <v>1959</v>
      </c>
      <c r="B1763" s="1957" t="s">
        <v>3830</v>
      </c>
      <c r="C1763" s="2122"/>
      <c r="D1763" s="2122"/>
      <c r="E1763" s="2122"/>
      <c r="F1763" s="457"/>
      <c r="G1763" s="457"/>
      <c r="H1763" s="2122"/>
      <c r="I1763" s="2122"/>
      <c r="J1763" s="2122"/>
      <c r="K1763" s="2122"/>
      <c r="L1763" s="2142" t="str">
        <f>IF(OR($O1763=$M1763,$O1763=0,$O1763=""),"","* * Check Score! * *")</f>
        <v/>
      </c>
      <c r="M1763" s="1958">
        <v>3</v>
      </c>
      <c r="N1763" s="2098" t="s">
        <v>1959</v>
      </c>
      <c r="O1763" s="2028">
        <f>'Part IX Scoring Criteria'!O115</f>
        <v>0</v>
      </c>
      <c r="P1763" s="2028"/>
      <c r="Q1763" s="2173" t="str">
        <f>IF(OR($O1763=$M1763,$O1763=0,$O1763=""),"","*CHECK!*")</f>
        <v/>
      </c>
      <c r="R1763" s="1786" t="s">
        <v>2667</v>
      </c>
      <c r="S1763" s="2146"/>
      <c r="T1763" s="2146"/>
      <c r="U1763" s="2122"/>
      <c r="V1763" s="2122"/>
      <c r="W1763" s="2122"/>
      <c r="X1763" s="2122"/>
    </row>
    <row r="1764" spans="1:24" ht="18">
      <c r="A1764" s="1981"/>
      <c r="B1764" s="2195"/>
      <c r="C1764" s="457" t="s">
        <v>3831</v>
      </c>
      <c r="D1764" s="2122"/>
      <c r="E1764" s="457"/>
      <c r="F1764" s="457"/>
      <c r="G1764" s="457"/>
      <c r="H1764" s="2122"/>
      <c r="I1764" s="2122"/>
      <c r="J1764" s="2122"/>
      <c r="K1764" s="2122"/>
      <c r="L1764" s="2122"/>
      <c r="M1764" s="1958"/>
      <c r="N1764" s="1958"/>
      <c r="O1764" s="1314">
        <f>'Part IX Scoring Criteria'!O116</f>
        <v>0</v>
      </c>
      <c r="P1764" s="1314"/>
      <c r="Q1764" s="2146"/>
      <c r="R1764" s="2146"/>
      <c r="S1764" s="2146"/>
      <c r="T1764" s="2146"/>
      <c r="U1764" s="2122"/>
      <c r="V1764" s="2122"/>
      <c r="W1764" s="2122"/>
      <c r="X1764" s="2122"/>
    </row>
    <row r="1765" spans="1:24" ht="18">
      <c r="A1765" s="1981"/>
      <c r="B1765" s="2195"/>
      <c r="C1765" s="457" t="s">
        <v>5088</v>
      </c>
      <c r="D1765" s="1786" t="s">
        <v>4493</v>
      </c>
      <c r="E1765" s="2122"/>
      <c r="F1765" s="457"/>
      <c r="G1765" s="457"/>
      <c r="H1765" s="1925">
        <f>'Part IX Scoring Criteria'!H117</f>
        <v>0</v>
      </c>
      <c r="I1765" s="1925">
        <f>'Part IX Scoring Criteria'!I117</f>
        <v>0</v>
      </c>
      <c r="J1765" s="1925">
        <f>'Part IX Scoring Criteria'!J117</f>
        <v>0</v>
      </c>
      <c r="K1765" s="1925">
        <f>'Part IX Scoring Criteria'!K117</f>
        <v>0</v>
      </c>
      <c r="L1765" s="1925">
        <f>'Part IX Scoring Criteria'!L117</f>
        <v>0</v>
      </c>
      <c r="M1765" s="1925">
        <f>'Part IX Scoring Criteria'!M117</f>
        <v>0</v>
      </c>
      <c r="N1765" s="1925">
        <f>'Part IX Scoring Criteria'!N117</f>
        <v>0</v>
      </c>
      <c r="O1765" s="1925">
        <f>'Part IX Scoring Criteria'!O117</f>
        <v>0</v>
      </c>
      <c r="P1765" s="1925">
        <f>'Part IX Scoring Criteria'!P117</f>
        <v>0</v>
      </c>
      <c r="Q1765" s="2146"/>
      <c r="R1765" s="2146"/>
      <c r="S1765" s="2146"/>
      <c r="T1765" s="2146"/>
      <c r="U1765" s="2122"/>
      <c r="V1765" s="2122"/>
      <c r="W1765" s="2122"/>
      <c r="X1765" s="2122"/>
    </row>
    <row r="1766" spans="1:24" ht="18">
      <c r="A1766" s="1981"/>
      <c r="B1766" s="457"/>
      <c r="C1766" s="457" t="s">
        <v>3834</v>
      </c>
      <c r="D1766" s="2122"/>
      <c r="E1766" s="457"/>
      <c r="F1766" s="457"/>
      <c r="G1766" s="457"/>
      <c r="H1766" s="2122"/>
      <c r="I1766" s="2122"/>
      <c r="J1766" s="2122"/>
      <c r="K1766" s="2122"/>
      <c r="L1766" s="2122"/>
      <c r="M1766" s="1955"/>
      <c r="N1766" s="2095" t="s">
        <v>3668</v>
      </c>
      <c r="O1766" s="1314">
        <f>'Part IX Scoring Criteria'!O118</f>
        <v>0</v>
      </c>
      <c r="P1766" s="1314"/>
      <c r="Q1766" s="2146"/>
      <c r="R1766" s="2146"/>
      <c r="S1766" s="2146"/>
      <c r="T1766" s="2146"/>
      <c r="U1766" s="2122"/>
      <c r="V1766" s="2122"/>
      <c r="W1766" s="2122"/>
      <c r="X1766" s="2122"/>
    </row>
    <row r="1767" spans="1:24" ht="18">
      <c r="A1767" s="2098"/>
      <c r="B1767" s="2184"/>
      <c r="C1767" s="457" t="s">
        <v>3835</v>
      </c>
      <c r="D1767" s="457"/>
      <c r="E1767" s="457"/>
      <c r="F1767" s="457"/>
      <c r="G1767" s="457"/>
      <c r="H1767" s="457"/>
      <c r="I1767" s="457"/>
      <c r="J1767" s="457"/>
      <c r="K1767" s="457"/>
      <c r="L1767" s="457"/>
      <c r="M1767" s="1314"/>
      <c r="N1767" s="2098" t="s">
        <v>3669</v>
      </c>
      <c r="O1767" s="1314">
        <f>'Part IX Scoring Criteria'!O119</f>
        <v>0</v>
      </c>
      <c r="P1767" s="1314"/>
      <c r="Q1767" s="2146"/>
      <c r="R1767" s="2146"/>
      <c r="S1767" s="2146"/>
      <c r="T1767" s="2146"/>
      <c r="U1767" s="457"/>
      <c r="V1767" s="457"/>
      <c r="W1767" s="457"/>
      <c r="X1767" s="457"/>
    </row>
    <row r="1768" spans="1:24">
      <c r="A1768" s="2098"/>
      <c r="B1768" s="1051"/>
      <c r="C1768" s="1051" t="s">
        <v>3938</v>
      </c>
      <c r="D1768" s="1051"/>
      <c r="E1768" s="457"/>
      <c r="F1768" s="457"/>
      <c r="G1768" s="457"/>
      <c r="H1768" s="1051"/>
      <c r="I1768" s="1051"/>
      <c r="J1768" s="1051"/>
      <c r="K1768" s="1051"/>
      <c r="L1768" s="2025" t="s">
        <v>3695</v>
      </c>
      <c r="M1768" s="2025"/>
      <c r="N1768" s="2025"/>
      <c r="O1768" s="2025" t="s">
        <v>3694</v>
      </c>
      <c r="P1768" s="2025"/>
      <c r="Q1768" s="457"/>
      <c r="R1768" s="1051"/>
      <c r="S1768" s="1051"/>
      <c r="T1768" s="1051"/>
      <c r="U1768" s="1051"/>
      <c r="V1768" s="1051"/>
      <c r="W1768" s="1051"/>
      <c r="X1768" s="1051"/>
    </row>
    <row r="1769" spans="1:24">
      <c r="A1769" s="2098"/>
      <c r="B1769" s="2098"/>
      <c r="C1769" s="2064">
        <f>'Part IX Scoring Criteria'!C121</f>
        <v>0</v>
      </c>
      <c r="D1769" s="2064">
        <f>'Part IX Scoring Criteria'!D121</f>
        <v>0</v>
      </c>
      <c r="E1769" s="2064">
        <f>'Part IX Scoring Criteria'!E121</f>
        <v>0</v>
      </c>
      <c r="F1769" s="2064">
        <f>'Part IX Scoring Criteria'!F121</f>
        <v>0</v>
      </c>
      <c r="G1769" s="2064">
        <f>'Part IX Scoring Criteria'!G121</f>
        <v>0</v>
      </c>
      <c r="H1769" s="2064">
        <f>'Part IX Scoring Criteria'!H121</f>
        <v>0</v>
      </c>
      <c r="I1769" s="2064">
        <f>'Part IX Scoring Criteria'!I121</f>
        <v>0</v>
      </c>
      <c r="J1769" s="2064">
        <f>'Part IX Scoring Criteria'!J121</f>
        <v>0</v>
      </c>
      <c r="K1769" s="2064">
        <f>'Part IX Scoring Criteria'!K121</f>
        <v>0</v>
      </c>
      <c r="L1769" s="2061" t="str">
        <f>'Part IX Scoring Criteria'!L121</f>
        <v>&lt;&lt; Select &gt;&gt;</v>
      </c>
      <c r="M1769" s="2061">
        <f>'Part IX Scoring Criteria'!M121</f>
        <v>0</v>
      </c>
      <c r="N1769" s="2061">
        <f>'Part IX Scoring Criteria'!N121</f>
        <v>0</v>
      </c>
      <c r="O1769" s="2196">
        <f>'Part IX Scoring Criteria'!O121</f>
        <v>0</v>
      </c>
      <c r="P1769" s="2196">
        <f>'Part IX Scoring Criteria'!P121</f>
        <v>0</v>
      </c>
      <c r="Q1769" s="457" t="str">
        <f>IF(O1769&gt;15, "Too much!","")</f>
        <v/>
      </c>
      <c r="R1769" s="1051"/>
      <c r="S1769" s="1051"/>
      <c r="T1769" s="1051"/>
      <c r="U1769" s="1051"/>
      <c r="V1769" s="1051"/>
      <c r="W1769" s="1051"/>
      <c r="X1769" s="1051"/>
    </row>
    <row r="1770" spans="1:24">
      <c r="A1770" s="2098"/>
      <c r="B1770" s="2095"/>
      <c r="C1770" s="2064">
        <f>'Part IX Scoring Criteria'!C122</f>
        <v>0</v>
      </c>
      <c r="D1770" s="2064">
        <f>'Part IX Scoring Criteria'!D122</f>
        <v>0</v>
      </c>
      <c r="E1770" s="2064">
        <f>'Part IX Scoring Criteria'!E122</f>
        <v>0</v>
      </c>
      <c r="F1770" s="2064">
        <f>'Part IX Scoring Criteria'!F122</f>
        <v>0</v>
      </c>
      <c r="G1770" s="2064">
        <f>'Part IX Scoring Criteria'!G122</f>
        <v>0</v>
      </c>
      <c r="H1770" s="2064">
        <f>'Part IX Scoring Criteria'!H122</f>
        <v>0</v>
      </c>
      <c r="I1770" s="2064">
        <f>'Part IX Scoring Criteria'!I122</f>
        <v>0</v>
      </c>
      <c r="J1770" s="2064">
        <f>'Part IX Scoring Criteria'!J122</f>
        <v>0</v>
      </c>
      <c r="K1770" s="2064">
        <f>'Part IX Scoring Criteria'!K122</f>
        <v>0</v>
      </c>
      <c r="L1770" s="2061" t="str">
        <f>'Part IX Scoring Criteria'!L122</f>
        <v>&lt;&lt; Select &gt;&gt;</v>
      </c>
      <c r="M1770" s="2061">
        <f>'Part IX Scoring Criteria'!M122</f>
        <v>0</v>
      </c>
      <c r="N1770" s="2061">
        <f>'Part IX Scoring Criteria'!N122</f>
        <v>0</v>
      </c>
      <c r="O1770" s="2196">
        <f>'Part IX Scoring Criteria'!O122</f>
        <v>0</v>
      </c>
      <c r="P1770" s="2196">
        <f>'Part IX Scoring Criteria'!P122</f>
        <v>0</v>
      </c>
      <c r="Q1770" s="457" t="str">
        <f>IF(O1770&gt;15, "Too much!","")</f>
        <v/>
      </c>
      <c r="R1770" s="1051"/>
      <c r="S1770" s="1051"/>
      <c r="T1770" s="1051"/>
      <c r="U1770" s="1051"/>
      <c r="V1770" s="1051"/>
      <c r="W1770" s="1051"/>
      <c r="X1770" s="1051"/>
    </row>
    <row r="1771" spans="1:24">
      <c r="A1771" s="2098"/>
      <c r="B1771" s="2098"/>
      <c r="C1771" s="2064">
        <f>'Part IX Scoring Criteria'!C123</f>
        <v>0</v>
      </c>
      <c r="D1771" s="2064">
        <f>'Part IX Scoring Criteria'!D123</f>
        <v>0</v>
      </c>
      <c r="E1771" s="2064">
        <f>'Part IX Scoring Criteria'!E123</f>
        <v>0</v>
      </c>
      <c r="F1771" s="2064">
        <f>'Part IX Scoring Criteria'!F123</f>
        <v>0</v>
      </c>
      <c r="G1771" s="2064">
        <f>'Part IX Scoring Criteria'!G123</f>
        <v>0</v>
      </c>
      <c r="H1771" s="2064">
        <f>'Part IX Scoring Criteria'!H123</f>
        <v>0</v>
      </c>
      <c r="I1771" s="2064">
        <f>'Part IX Scoring Criteria'!I123</f>
        <v>0</v>
      </c>
      <c r="J1771" s="2064">
        <f>'Part IX Scoring Criteria'!J123</f>
        <v>0</v>
      </c>
      <c r="K1771" s="2064">
        <f>'Part IX Scoring Criteria'!K123</f>
        <v>0</v>
      </c>
      <c r="L1771" s="2061" t="str">
        <f>'Part IX Scoring Criteria'!L123</f>
        <v>&lt;&lt; Select &gt;&gt;</v>
      </c>
      <c r="M1771" s="2061">
        <f>'Part IX Scoring Criteria'!M123</f>
        <v>0</v>
      </c>
      <c r="N1771" s="2061">
        <f>'Part IX Scoring Criteria'!N123</f>
        <v>0</v>
      </c>
      <c r="O1771" s="2196">
        <f>'Part IX Scoring Criteria'!O123</f>
        <v>0</v>
      </c>
      <c r="P1771" s="2196">
        <f>'Part IX Scoring Criteria'!P123</f>
        <v>0</v>
      </c>
      <c r="Q1771" s="457" t="str">
        <f>IF(O1771&gt;15, "Too much!","")</f>
        <v/>
      </c>
      <c r="R1771" s="1051"/>
      <c r="S1771" s="1051"/>
      <c r="T1771" s="1051"/>
      <c r="U1771" s="1051"/>
      <c r="V1771" s="1051"/>
      <c r="W1771" s="1051"/>
      <c r="X1771" s="1051"/>
    </row>
    <row r="1772" spans="1:24">
      <c r="A1772" s="2098"/>
      <c r="B1772" s="2098"/>
      <c r="C1772" s="2064">
        <f>'Part IX Scoring Criteria'!C124</f>
        <v>0</v>
      </c>
      <c r="D1772" s="2064">
        <f>'Part IX Scoring Criteria'!D124</f>
        <v>0</v>
      </c>
      <c r="E1772" s="2064">
        <f>'Part IX Scoring Criteria'!E124</f>
        <v>0</v>
      </c>
      <c r="F1772" s="2064">
        <f>'Part IX Scoring Criteria'!F124</f>
        <v>0</v>
      </c>
      <c r="G1772" s="2064">
        <f>'Part IX Scoring Criteria'!G124</f>
        <v>0</v>
      </c>
      <c r="H1772" s="2064">
        <f>'Part IX Scoring Criteria'!H124</f>
        <v>0</v>
      </c>
      <c r="I1772" s="2064">
        <f>'Part IX Scoring Criteria'!I124</f>
        <v>0</v>
      </c>
      <c r="J1772" s="2064">
        <f>'Part IX Scoring Criteria'!J124</f>
        <v>0</v>
      </c>
      <c r="K1772" s="2064">
        <f>'Part IX Scoring Criteria'!K124</f>
        <v>0</v>
      </c>
      <c r="L1772" s="2061" t="str">
        <f>'Part IX Scoring Criteria'!L124</f>
        <v>&lt;&lt; Select &gt;&gt;</v>
      </c>
      <c r="M1772" s="2061">
        <f>'Part IX Scoring Criteria'!M124</f>
        <v>0</v>
      </c>
      <c r="N1772" s="2061">
        <f>'Part IX Scoring Criteria'!N124</f>
        <v>0</v>
      </c>
      <c r="O1772" s="2196">
        <f>'Part IX Scoring Criteria'!O124</f>
        <v>0</v>
      </c>
      <c r="P1772" s="2196">
        <f>'Part IX Scoring Criteria'!P124</f>
        <v>0</v>
      </c>
      <c r="Q1772" s="457" t="str">
        <f>IF(O1772&gt;15, "Too much!","")</f>
        <v/>
      </c>
      <c r="R1772" s="1051"/>
      <c r="S1772" s="1051"/>
      <c r="T1772" s="1051"/>
      <c r="U1772" s="1051"/>
      <c r="V1772" s="1051"/>
      <c r="W1772" s="1051"/>
      <c r="X1772" s="1051"/>
    </row>
    <row r="1773" spans="1:24" ht="14.4">
      <c r="A1773" s="2122"/>
      <c r="B1773" s="2195"/>
      <c r="C1773" s="457" t="s">
        <v>5089</v>
      </c>
      <c r="D1773" s="457" t="s">
        <v>3836</v>
      </c>
      <c r="E1773" s="457"/>
      <c r="F1773" s="457"/>
      <c r="G1773" s="457"/>
      <c r="H1773" s="2122"/>
      <c r="I1773" s="2122"/>
      <c r="J1773" s="2122"/>
      <c r="K1773" s="2122"/>
      <c r="L1773" s="2122"/>
      <c r="M1773" s="2122"/>
      <c r="N1773" s="2095" t="s">
        <v>3668</v>
      </c>
      <c r="O1773" s="1314">
        <f>'Part IX Scoring Criteria'!O125</f>
        <v>0</v>
      </c>
      <c r="P1773" s="1314"/>
      <c r="Q1773" s="1786"/>
      <c r="R1773" s="1051"/>
      <c r="S1773" s="1051"/>
      <c r="T1773" s="1051"/>
      <c r="U1773" s="1051"/>
      <c r="V1773" s="2122"/>
      <c r="W1773" s="2122"/>
      <c r="X1773" s="2122"/>
    </row>
    <row r="1774" spans="1:24" ht="14.4">
      <c r="A1774" s="1981"/>
      <c r="B1774" s="457"/>
      <c r="C1774" s="2122"/>
      <c r="D1774" s="457" t="s">
        <v>3837</v>
      </c>
      <c r="E1774" s="457"/>
      <c r="F1774" s="457"/>
      <c r="G1774" s="457"/>
      <c r="H1774" s="2122"/>
      <c r="I1774" s="2122"/>
      <c r="J1774" s="2122"/>
      <c r="K1774" s="2122"/>
      <c r="L1774" s="2122"/>
      <c r="M1774" s="1955"/>
      <c r="N1774" s="2098" t="s">
        <v>3669</v>
      </c>
      <c r="O1774" s="1314">
        <f>'Part IX Scoring Criteria'!O126</f>
        <v>0</v>
      </c>
      <c r="P1774" s="1314"/>
      <c r="Q1774" s="1786"/>
      <c r="R1774" s="1051"/>
      <c r="S1774" s="1051"/>
      <c r="T1774" s="1051"/>
      <c r="U1774" s="1051"/>
      <c r="V1774" s="2122"/>
      <c r="W1774" s="2122"/>
      <c r="X1774" s="2122"/>
    </row>
    <row r="1775" spans="1:24">
      <c r="A1775" s="2098"/>
      <c r="B1775" s="2184"/>
      <c r="C1775" s="457"/>
      <c r="D1775" s="1051" t="s">
        <v>4492</v>
      </c>
      <c r="E1775" s="457"/>
      <c r="F1775" s="457"/>
      <c r="G1775" s="457"/>
      <c r="H1775" s="457"/>
      <c r="I1775" s="457"/>
      <c r="J1775" s="457"/>
      <c r="K1775" s="457"/>
      <c r="L1775" s="457"/>
      <c r="M1775" s="1314"/>
      <c r="N1775" s="2098" t="s">
        <v>3670</v>
      </c>
      <c r="O1775" s="457"/>
      <c r="P1775" s="457"/>
      <c r="Q1775" s="457"/>
      <c r="R1775" s="1051"/>
      <c r="S1775" s="1051"/>
      <c r="T1775" s="1051"/>
      <c r="U1775" s="1051"/>
      <c r="V1775" s="457"/>
      <c r="W1775" s="457"/>
      <c r="X1775" s="457"/>
    </row>
    <row r="1776" spans="1:24">
      <c r="A1776" s="2098"/>
      <c r="B1776" s="2098"/>
      <c r="C1776" s="1051"/>
      <c r="D1776" s="2098"/>
      <c r="E1776" s="2009" t="s">
        <v>3960</v>
      </c>
      <c r="F1776" s="2098"/>
      <c r="G1776" s="1051"/>
      <c r="H1776" s="1051"/>
      <c r="I1776" s="1051"/>
      <c r="J1776" s="1051"/>
      <c r="K1776" s="1051"/>
      <c r="L1776" s="2098"/>
      <c r="M1776" s="2098"/>
      <c r="N1776" s="2098"/>
      <c r="O1776" s="1314">
        <f>'Part IX Scoring Criteria'!O128</f>
        <v>0</v>
      </c>
      <c r="P1776" s="1314"/>
      <c r="Q1776" s="457"/>
      <c r="R1776" s="1051"/>
      <c r="S1776" s="1051"/>
      <c r="T1776" s="1051"/>
      <c r="U1776" s="1051"/>
      <c r="V1776" s="1051"/>
      <c r="W1776" s="1051"/>
      <c r="X1776" s="1051"/>
    </row>
    <row r="1777" spans="1:24">
      <c r="A1777" s="2098"/>
      <c r="B1777" s="2098"/>
      <c r="C1777" s="1051"/>
      <c r="D1777" s="2098"/>
      <c r="E1777" s="2009" t="s">
        <v>4269</v>
      </c>
      <c r="F1777" s="2098"/>
      <c r="G1777" s="1051"/>
      <c r="H1777" s="1051"/>
      <c r="I1777" s="1051"/>
      <c r="J1777" s="1051"/>
      <c r="K1777" s="1051"/>
      <c r="L1777" s="2098"/>
      <c r="M1777" s="2098"/>
      <c r="N1777" s="2098"/>
      <c r="O1777" s="1314">
        <f>'Part IX Scoring Criteria'!O129</f>
        <v>0</v>
      </c>
      <c r="P1777" s="1314"/>
      <c r="Q1777" s="457"/>
      <c r="R1777" s="1051"/>
      <c r="S1777" s="1051"/>
      <c r="T1777" s="1051"/>
      <c r="U1777" s="1051"/>
      <c r="V1777" s="1051"/>
      <c r="W1777" s="1051"/>
      <c r="X1777" s="1051"/>
    </row>
    <row r="1778" spans="1:24">
      <c r="A1778" s="2098"/>
      <c r="B1778" s="2098"/>
      <c r="C1778" s="1051"/>
      <c r="D1778" s="2098"/>
      <c r="E1778" s="2009" t="s">
        <v>3961</v>
      </c>
      <c r="F1778" s="2098"/>
      <c r="G1778" s="1051"/>
      <c r="H1778" s="1051"/>
      <c r="I1778" s="1051"/>
      <c r="J1778" s="1051"/>
      <c r="K1778" s="1051"/>
      <c r="L1778" s="2098"/>
      <c r="M1778" s="2098"/>
      <c r="N1778" s="2098"/>
      <c r="O1778" s="1314">
        <f>'Part IX Scoring Criteria'!O130</f>
        <v>0</v>
      </c>
      <c r="P1778" s="1314"/>
      <c r="Q1778" s="457"/>
      <c r="R1778" s="1051"/>
      <c r="S1778" s="1051"/>
      <c r="T1778" s="1051"/>
      <c r="U1778" s="1051"/>
      <c r="V1778" s="1051"/>
      <c r="W1778" s="1051"/>
      <c r="X1778" s="1051"/>
    </row>
    <row r="1779" spans="1:24">
      <c r="A1779" s="2098"/>
      <c r="B1779" s="2098"/>
      <c r="C1779" s="1051"/>
      <c r="D1779" s="2098"/>
      <c r="E1779" s="2009" t="s">
        <v>4281</v>
      </c>
      <c r="F1779" s="2098"/>
      <c r="G1779" s="1051"/>
      <c r="H1779" s="1051"/>
      <c r="I1779" s="2009"/>
      <c r="J1779" s="1051"/>
      <c r="K1779" s="1051"/>
      <c r="L1779" s="2098"/>
      <c r="M1779" s="2098"/>
      <c r="N1779" s="2098"/>
      <c r="O1779" s="1314">
        <f>'Part IX Scoring Criteria'!O131</f>
        <v>0</v>
      </c>
      <c r="P1779" s="1314"/>
      <c r="Q1779" s="457"/>
      <c r="R1779" s="1051"/>
      <c r="S1779" s="1051"/>
      <c r="T1779" s="1051"/>
      <c r="U1779" s="1051"/>
      <c r="V1779" s="1051"/>
      <c r="W1779" s="1051"/>
      <c r="X1779" s="1051"/>
    </row>
    <row r="1780" spans="1:24">
      <c r="A1780" s="2098"/>
      <c r="B1780" s="2098"/>
      <c r="C1780" s="1051"/>
      <c r="D1780" s="2098"/>
      <c r="E1780" s="457" t="s">
        <v>4282</v>
      </c>
      <c r="F1780" s="2098"/>
      <c r="G1780" s="1051"/>
      <c r="H1780" s="1051"/>
      <c r="I1780" s="2009"/>
      <c r="J1780" s="1051"/>
      <c r="K1780" s="1051"/>
      <c r="L1780" s="2098"/>
      <c r="M1780" s="2098"/>
      <c r="N1780" s="2098"/>
      <c r="O1780" s="1314">
        <f>'Part IX Scoring Criteria'!O132</f>
        <v>0</v>
      </c>
      <c r="P1780" s="1314"/>
      <c r="Q1780" s="457"/>
      <c r="R1780" s="1051"/>
      <c r="S1780" s="1051"/>
      <c r="T1780" s="1051"/>
      <c r="U1780" s="1051"/>
      <c r="V1780" s="1051"/>
      <c r="W1780" s="1051"/>
      <c r="X1780" s="1051"/>
    </row>
    <row r="1781" spans="1:24">
      <c r="A1781" s="2098"/>
      <c r="B1781" s="2098"/>
      <c r="C1781" s="1051"/>
      <c r="D1781" s="2098"/>
      <c r="E1781" s="2009" t="s">
        <v>4283</v>
      </c>
      <c r="F1781" s="2098"/>
      <c r="G1781" s="1051"/>
      <c r="H1781" s="1051"/>
      <c r="I1781" s="2009"/>
      <c r="J1781" s="1051"/>
      <c r="K1781" s="1051"/>
      <c r="L1781" s="2098"/>
      <c r="M1781" s="2098"/>
      <c r="N1781" s="2098"/>
      <c r="O1781" s="1314">
        <f>'Part IX Scoring Criteria'!O133</f>
        <v>0</v>
      </c>
      <c r="P1781" s="1314"/>
      <c r="Q1781" s="457"/>
      <c r="R1781" s="1051"/>
      <c r="S1781" s="1051"/>
      <c r="T1781" s="1051"/>
      <c r="U1781" s="1051"/>
      <c r="V1781" s="1051"/>
      <c r="W1781" s="1051"/>
      <c r="X1781" s="1051"/>
    </row>
    <row r="1782" spans="1:24" ht="12.75" customHeight="1">
      <c r="A1782" s="2098"/>
      <c r="B1782" s="2098"/>
      <c r="C1782" s="1051"/>
      <c r="D1782" s="2098"/>
      <c r="E1782" s="1925" t="str">
        <f>'Part IX Scoring Criteria'!E134</f>
        <v>• Other: Describe here</v>
      </c>
      <c r="F1782" s="1925">
        <f>'Part IX Scoring Criteria'!F134</f>
        <v>0</v>
      </c>
      <c r="G1782" s="1925">
        <f>'Part IX Scoring Criteria'!G134</f>
        <v>0</v>
      </c>
      <c r="H1782" s="1925">
        <f>'Part IX Scoring Criteria'!H134</f>
        <v>0</v>
      </c>
      <c r="I1782" s="1925">
        <f>'Part IX Scoring Criteria'!I134</f>
        <v>0</v>
      </c>
      <c r="J1782" s="1925">
        <f>'Part IX Scoring Criteria'!J134</f>
        <v>0</v>
      </c>
      <c r="K1782" s="1925">
        <f>'Part IX Scoring Criteria'!K134</f>
        <v>0</v>
      </c>
      <c r="L1782" s="1925">
        <f>'Part IX Scoring Criteria'!L134</f>
        <v>0</v>
      </c>
      <c r="M1782" s="2098"/>
      <c r="N1782" s="2098"/>
      <c r="O1782" s="1314">
        <f>'Part IX Scoring Criteria'!O134</f>
        <v>0</v>
      </c>
      <c r="P1782" s="1314"/>
      <c r="Q1782" s="457"/>
      <c r="R1782" s="1051"/>
      <c r="S1782" s="1051"/>
      <c r="T1782" s="1051"/>
      <c r="U1782" s="1051"/>
      <c r="V1782" s="1051"/>
      <c r="W1782" s="1051"/>
      <c r="X1782" s="1051"/>
    </row>
    <row r="1783" spans="1:24" ht="14.4">
      <c r="A1783" s="1981"/>
      <c r="B1783" s="457"/>
      <c r="C1783" s="2122"/>
      <c r="D1783" s="457" t="s">
        <v>4494</v>
      </c>
      <c r="E1783" s="457"/>
      <c r="F1783" s="457"/>
      <c r="G1783" s="457"/>
      <c r="H1783" s="2122"/>
      <c r="I1783" s="2122"/>
      <c r="J1783" s="2122"/>
      <c r="K1783" s="2122"/>
      <c r="L1783" s="2122"/>
      <c r="M1783" s="1955"/>
      <c r="N1783" s="2098" t="s">
        <v>3672</v>
      </c>
      <c r="O1783" s="1314">
        <f>'Part IX Scoring Criteria'!O135</f>
        <v>0</v>
      </c>
      <c r="P1783" s="1314"/>
      <c r="Q1783" s="1786"/>
      <c r="R1783" s="1051"/>
      <c r="S1783" s="1051"/>
      <c r="T1783" s="1051"/>
      <c r="U1783" s="1051"/>
      <c r="V1783" s="2122"/>
      <c r="W1783" s="2122"/>
      <c r="X1783" s="2122"/>
    </row>
    <row r="1784" spans="1:24" ht="14.4">
      <c r="A1784" s="2101"/>
      <c r="B1784" s="2138"/>
      <c r="C1784" s="2197"/>
      <c r="D1784" s="2197"/>
      <c r="E1784" s="2197"/>
      <c r="F1784" s="2197"/>
      <c r="G1784" s="2197"/>
      <c r="H1784" s="2197"/>
      <c r="I1784" s="2197"/>
      <c r="J1784" s="2197"/>
      <c r="K1784" s="2197"/>
      <c r="L1784" s="2197"/>
      <c r="M1784" s="2190"/>
      <c r="N1784" s="2198"/>
      <c r="O1784" s="2198"/>
      <c r="P1784" s="2198"/>
      <c r="Q1784" s="2156"/>
      <c r="R1784" s="2138"/>
      <c r="S1784" s="2138"/>
      <c r="T1784" s="2138"/>
      <c r="U1784" s="2138"/>
      <c r="V1784" s="2138"/>
      <c r="W1784" s="2138"/>
      <c r="X1784" s="2138"/>
    </row>
    <row r="1785" spans="1:24" ht="18">
      <c r="A1785" s="1981" t="s">
        <v>738</v>
      </c>
      <c r="B1785" s="1957" t="s">
        <v>3696</v>
      </c>
      <c r="C1785" s="2122"/>
      <c r="D1785" s="457"/>
      <c r="E1785" s="2122"/>
      <c r="F1785" s="457"/>
      <c r="G1785" s="457"/>
      <c r="H1785" s="457"/>
      <c r="I1785" s="457"/>
      <c r="J1785" s="457"/>
      <c r="K1785" s="457"/>
      <c r="L1785" s="2142" t="str">
        <f>IF(OR($O1785=$M1785,$O1785=0,$O1785=""),"","* * Check Score! * *")</f>
        <v/>
      </c>
      <c r="M1785" s="1958">
        <v>1</v>
      </c>
      <c r="N1785" s="2162" t="s">
        <v>1962</v>
      </c>
      <c r="O1785" s="2028">
        <f>'Part IX Scoring Criteria'!O137</f>
        <v>1</v>
      </c>
      <c r="P1785" s="2028"/>
      <c r="Q1785" s="2173" t="str">
        <f>IF(OR($O1785=$M1785,$O1785=0,$O1785=""),"","*CHECK!*")</f>
        <v/>
      </c>
      <c r="R1785" s="1786" t="s">
        <v>2667</v>
      </c>
      <c r="S1785" s="2146"/>
      <c r="T1785" s="2146"/>
      <c r="U1785" s="2146"/>
      <c r="V1785" s="2122"/>
      <c r="W1785" s="2122"/>
      <c r="X1785" s="2122"/>
    </row>
    <row r="1786" spans="1:24" ht="18">
      <c r="A1786" s="2098"/>
      <c r="B1786" s="457"/>
      <c r="C1786" s="457" t="s">
        <v>3838</v>
      </c>
      <c r="D1786" s="2199"/>
      <c r="E1786" s="2199"/>
      <c r="F1786" s="2199"/>
      <c r="G1786" s="2199"/>
      <c r="H1786" s="2199"/>
      <c r="I1786" s="2199"/>
      <c r="J1786" s="2199"/>
      <c r="K1786" s="2199"/>
      <c r="L1786" s="2199"/>
      <c r="M1786" s="1314"/>
      <c r="N1786" s="457"/>
      <c r="O1786" s="1314" t="str">
        <f>'Part IX Scoring Criteria'!O138</f>
        <v>Agree</v>
      </c>
      <c r="P1786" s="1314"/>
      <c r="Q1786" s="457"/>
      <c r="R1786" s="2146"/>
      <c r="S1786" s="2146"/>
      <c r="T1786" s="2146"/>
      <c r="U1786" s="2146"/>
      <c r="V1786" s="457"/>
      <c r="W1786" s="457"/>
      <c r="X1786" s="457"/>
    </row>
    <row r="1787" spans="1:24" ht="18.75" customHeight="1">
      <c r="A1787" s="2098"/>
      <c r="B1787" s="2195"/>
      <c r="C1787" s="2064" t="s">
        <v>5090</v>
      </c>
      <c r="D1787" s="2064"/>
      <c r="E1787" s="2064"/>
      <c r="F1787" s="2199"/>
      <c r="G1787" s="2009" t="s">
        <v>3839</v>
      </c>
      <c r="H1787" s="457"/>
      <c r="I1787" s="2199"/>
      <c r="J1787" s="2199"/>
      <c r="K1787" s="2199"/>
      <c r="L1787" s="2199"/>
      <c r="M1787" s="2098" t="s">
        <v>2403</v>
      </c>
      <c r="N1787" s="2098" t="s">
        <v>3668</v>
      </c>
      <c r="O1787" s="1314" t="str">
        <f>'Part IX Scoring Criteria'!O139</f>
        <v>Yes</v>
      </c>
      <c r="P1787" s="1314"/>
      <c r="Q1787" s="457"/>
      <c r="R1787" s="2146"/>
      <c r="S1787" s="2146"/>
      <c r="T1787" s="2146"/>
      <c r="U1787" s="2146"/>
      <c r="V1787" s="457"/>
      <c r="W1787" s="457"/>
      <c r="X1787" s="457"/>
    </row>
    <row r="1788" spans="1:24" ht="18">
      <c r="A1788" s="2098"/>
      <c r="B1788" s="2184"/>
      <c r="C1788" s="2064"/>
      <c r="D1788" s="2064"/>
      <c r="E1788" s="2064"/>
      <c r="F1788" s="2199"/>
      <c r="G1788" s="2009" t="s">
        <v>3840</v>
      </c>
      <c r="H1788" s="457"/>
      <c r="I1788" s="2199"/>
      <c r="J1788" s="2199"/>
      <c r="K1788" s="2199"/>
      <c r="L1788" s="2199"/>
      <c r="M1788" s="1314"/>
      <c r="N1788" s="2095" t="s">
        <v>3669</v>
      </c>
      <c r="O1788" s="1314" t="str">
        <f>'Part IX Scoring Criteria'!O140</f>
        <v>Yes</v>
      </c>
      <c r="P1788" s="1314"/>
      <c r="Q1788" s="457"/>
      <c r="R1788" s="2146"/>
      <c r="S1788" s="2146"/>
      <c r="T1788" s="2146"/>
      <c r="U1788" s="2146"/>
      <c r="V1788" s="457"/>
      <c r="W1788" s="457"/>
      <c r="X1788" s="457"/>
    </row>
    <row r="1789" spans="1:24" ht="18">
      <c r="A1789" s="2098"/>
      <c r="B1789" s="2184"/>
      <c r="C1789" s="2064"/>
      <c r="D1789" s="2064"/>
      <c r="E1789" s="2064"/>
      <c r="F1789" s="2199"/>
      <c r="G1789" s="2009" t="s">
        <v>3841</v>
      </c>
      <c r="H1789" s="457"/>
      <c r="I1789" s="2199"/>
      <c r="J1789" s="2199"/>
      <c r="K1789" s="2199"/>
      <c r="L1789" s="2199"/>
      <c r="M1789" s="1314"/>
      <c r="N1789" s="2098" t="s">
        <v>3670</v>
      </c>
      <c r="O1789" s="1314" t="str">
        <f>'Part IX Scoring Criteria'!O141</f>
        <v>Yes</v>
      </c>
      <c r="P1789" s="1314"/>
      <c r="Q1789" s="457"/>
      <c r="R1789" s="2146"/>
      <c r="S1789" s="2146"/>
      <c r="T1789" s="2146"/>
      <c r="U1789" s="2146"/>
      <c r="V1789" s="457"/>
      <c r="W1789" s="457"/>
      <c r="X1789" s="457"/>
    </row>
    <row r="1790" spans="1:24" ht="18">
      <c r="A1790" s="2098"/>
      <c r="B1790" s="2184"/>
      <c r="C1790" s="457"/>
      <c r="D1790" s="2199"/>
      <c r="E1790" s="2199"/>
      <c r="F1790" s="2199"/>
      <c r="G1790" s="2009" t="s">
        <v>3842</v>
      </c>
      <c r="H1790" s="457"/>
      <c r="I1790" s="2199"/>
      <c r="J1790" s="2199"/>
      <c r="K1790" s="2199"/>
      <c r="L1790" s="2199"/>
      <c r="M1790" s="1314"/>
      <c r="N1790" s="2098" t="s">
        <v>3672</v>
      </c>
      <c r="O1790" s="1314" t="str">
        <f>'Part IX Scoring Criteria'!O142</f>
        <v>Yes</v>
      </c>
      <c r="P1790" s="1314"/>
      <c r="Q1790" s="457"/>
      <c r="R1790" s="2146"/>
      <c r="S1790" s="2146"/>
      <c r="T1790" s="2146"/>
      <c r="U1790" s="2146"/>
      <c r="V1790" s="457"/>
      <c r="W1790" s="457"/>
      <c r="X1790" s="457"/>
    </row>
    <row r="1791" spans="1:24">
      <c r="A1791" s="2098"/>
      <c r="B1791" s="2184"/>
      <c r="C1791" s="457"/>
      <c r="D1791" s="2199"/>
      <c r="E1791" s="2199"/>
      <c r="F1791" s="2199"/>
      <c r="G1791" s="2009" t="s">
        <v>3843</v>
      </c>
      <c r="H1791" s="457"/>
      <c r="I1791" s="2199"/>
      <c r="J1791" s="2199"/>
      <c r="K1791" s="2199"/>
      <c r="L1791" s="2199"/>
      <c r="M1791" s="1314"/>
      <c r="N1791" s="2095" t="s">
        <v>3673</v>
      </c>
      <c r="O1791" s="1314" t="str">
        <f>'Part IX Scoring Criteria'!O143</f>
        <v>Yes</v>
      </c>
      <c r="P1791" s="1314"/>
      <c r="Q1791" s="457"/>
      <c r="R1791" s="457"/>
      <c r="S1791" s="457"/>
      <c r="T1791" s="457"/>
      <c r="U1791" s="457"/>
      <c r="V1791" s="457"/>
      <c r="W1791" s="457"/>
      <c r="X1791" s="457"/>
    </row>
    <row r="1792" spans="1:24">
      <c r="A1792" s="2098"/>
      <c r="B1792" s="2195"/>
      <c r="C1792" s="2009" t="s">
        <v>5091</v>
      </c>
      <c r="D1792" s="2199"/>
      <c r="E1792" s="2199"/>
      <c r="F1792" s="2199"/>
      <c r="G1792" s="2199"/>
      <c r="H1792" s="2199"/>
      <c r="I1792" s="2199"/>
      <c r="J1792" s="2199"/>
      <c r="K1792" s="2199"/>
      <c r="L1792" s="2199"/>
      <c r="M1792" s="2098"/>
      <c r="N1792" s="2098" t="s">
        <v>2404</v>
      </c>
      <c r="O1792" s="1314" t="str">
        <f>'Part IX Scoring Criteria'!O144</f>
        <v>Yes</v>
      </c>
      <c r="P1792" s="1314"/>
      <c r="Q1792" s="457"/>
      <c r="R1792" s="457"/>
      <c r="S1792" s="457"/>
      <c r="T1792" s="457"/>
      <c r="U1792" s="457"/>
      <c r="V1792" s="457"/>
      <c r="W1792" s="457"/>
      <c r="X1792" s="457"/>
    </row>
    <row r="1793" spans="1:24">
      <c r="A1793" s="2098"/>
      <c r="B1793" s="2136"/>
      <c r="C1793" s="1051" t="s">
        <v>3706</v>
      </c>
      <c r="D1793" s="1051"/>
      <c r="E1793" s="457"/>
      <c r="F1793" s="457"/>
      <c r="G1793" s="1051" t="s">
        <v>3940</v>
      </c>
      <c r="H1793" s="1051"/>
      <c r="I1793" s="1051"/>
      <c r="J1793" s="1051"/>
      <c r="K1793" s="1051"/>
      <c r="L1793" s="1051"/>
      <c r="M1793" s="2025"/>
      <c r="N1793" s="2025"/>
      <c r="O1793" s="2025"/>
      <c r="P1793" s="2025"/>
      <c r="Q1793" s="457"/>
      <c r="R1793" s="1051"/>
      <c r="S1793" s="1051"/>
      <c r="T1793" s="1051"/>
      <c r="U1793" s="1051"/>
      <c r="V1793" s="1051"/>
      <c r="W1793" s="1051"/>
      <c r="X1793" s="1051"/>
    </row>
    <row r="1794" spans="1:24" ht="91.8">
      <c r="A1794" s="1051"/>
      <c r="B1794" s="2098"/>
      <c r="C1794" s="2064" t="str">
        <f>'Part IX Scoring Criteria'!C146</f>
        <v xml:space="preserve">Diet Quality and Physical Education </v>
      </c>
      <c r="D1794" s="2064">
        <f>'Part IX Scoring Criteria'!D146</f>
        <v>0</v>
      </c>
      <c r="E1794" s="2064">
        <f>'Part IX Scoring Criteria'!E146</f>
        <v>0</v>
      </c>
      <c r="F1794" s="2064">
        <f>'Part IX Scoring Criteria'!F146</f>
        <v>0</v>
      </c>
      <c r="G1794" s="2064" t="str">
        <f>'Part IX Scoring Criteria'!G146</f>
        <v>Mental wellness, weight management, boosting energy levels, managing stress, weight management</v>
      </c>
      <c r="H1794" s="2064">
        <f>'Part IX Scoring Criteria'!H146</f>
        <v>0</v>
      </c>
      <c r="I1794" s="2064">
        <f>'Part IX Scoring Criteria'!I146</f>
        <v>0</v>
      </c>
      <c r="J1794" s="2064">
        <f>'Part IX Scoring Criteria'!J146</f>
        <v>0</v>
      </c>
      <c r="K1794" s="2064">
        <f>'Part IX Scoring Criteria'!K146</f>
        <v>0</v>
      </c>
      <c r="L1794" s="2064">
        <f>'Part IX Scoring Criteria'!L146</f>
        <v>0</v>
      </c>
      <c r="M1794" s="2064">
        <f>'Part IX Scoring Criteria'!M146</f>
        <v>0</v>
      </c>
      <c r="N1794" s="2064">
        <f>'Part IX Scoring Criteria'!N146</f>
        <v>0</v>
      </c>
      <c r="O1794" s="2064">
        <f>'Part IX Scoring Criteria'!O146</f>
        <v>0</v>
      </c>
      <c r="P1794" s="2064">
        <f>'Part IX Scoring Criteria'!P146</f>
        <v>0</v>
      </c>
      <c r="Q1794" s="457"/>
      <c r="R1794" s="1051"/>
      <c r="S1794" s="1051"/>
      <c r="T1794" s="1051"/>
      <c r="U1794" s="1051"/>
      <c r="V1794" s="1051"/>
      <c r="W1794" s="1051"/>
      <c r="X1794" s="1051"/>
    </row>
    <row r="1795" spans="1:24" ht="112.2">
      <c r="A1795" s="2098"/>
      <c r="B1795" s="2095"/>
      <c r="C1795" s="2064" t="str">
        <f>'Part IX Scoring Criteria'!C147</f>
        <v>Food Resource Management</v>
      </c>
      <c r="D1795" s="2064">
        <f>'Part IX Scoring Criteria'!D147</f>
        <v>0</v>
      </c>
      <c r="E1795" s="2064">
        <f>'Part IX Scoring Criteria'!E147</f>
        <v>0</v>
      </c>
      <c r="F1795" s="2064">
        <f>'Part IX Scoring Criteria'!F147</f>
        <v>0</v>
      </c>
      <c r="G1795" s="2064" t="str">
        <f>'Part IX Scoring Criteria'!G147</f>
        <v>Choose healthy foods for my family on a budget, identify foods on sale or use coupons to save money, Cook healthy foods on a budget.</v>
      </c>
      <c r="H1795" s="2064">
        <f>'Part IX Scoring Criteria'!H147</f>
        <v>0</v>
      </c>
      <c r="I1795" s="2064">
        <f>'Part IX Scoring Criteria'!I147</f>
        <v>0</v>
      </c>
      <c r="J1795" s="2064">
        <f>'Part IX Scoring Criteria'!J147</f>
        <v>0</v>
      </c>
      <c r="K1795" s="2064">
        <f>'Part IX Scoring Criteria'!K147</f>
        <v>0</v>
      </c>
      <c r="L1795" s="2064">
        <f>'Part IX Scoring Criteria'!L147</f>
        <v>0</v>
      </c>
      <c r="M1795" s="2064">
        <f>'Part IX Scoring Criteria'!M147</f>
        <v>0</v>
      </c>
      <c r="N1795" s="2064">
        <f>'Part IX Scoring Criteria'!N147</f>
        <v>0</v>
      </c>
      <c r="O1795" s="2064">
        <f>'Part IX Scoring Criteria'!O147</f>
        <v>0</v>
      </c>
      <c r="P1795" s="2064">
        <f>'Part IX Scoring Criteria'!P147</f>
        <v>0</v>
      </c>
      <c r="Q1795" s="457"/>
      <c r="R1795" s="1051"/>
      <c r="S1795" s="1051"/>
      <c r="T1795" s="1051"/>
      <c r="U1795" s="1051"/>
      <c r="V1795" s="1051"/>
      <c r="W1795" s="1051"/>
      <c r="X1795" s="1051"/>
    </row>
    <row r="1796" spans="1:24" ht="12.75" customHeight="1">
      <c r="A1796" s="1925" t="s">
        <v>3963</v>
      </c>
      <c r="B1796" s="1925"/>
      <c r="C1796" s="2064" t="str">
        <f>'Part IX Scoring Criteria'!C148</f>
        <v>Food Safety</v>
      </c>
      <c r="D1796" s="2064">
        <f>'Part IX Scoring Criteria'!D148</f>
        <v>0</v>
      </c>
      <c r="E1796" s="2064">
        <f>'Part IX Scoring Criteria'!E148</f>
        <v>0</v>
      </c>
      <c r="F1796" s="2064">
        <f>'Part IX Scoring Criteria'!F148</f>
        <v>0</v>
      </c>
      <c r="G1796" s="2064" t="str">
        <f>'Part IX Scoring Criteria'!G148</f>
        <v>Cleaning and Santizing, Allergen Control, Ensuring Quality, Foodborne illness, refrigeration/freezing techniques</v>
      </c>
      <c r="H1796" s="2064">
        <f>'Part IX Scoring Criteria'!H148</f>
        <v>0</v>
      </c>
      <c r="I1796" s="2064">
        <f>'Part IX Scoring Criteria'!I148</f>
        <v>0</v>
      </c>
      <c r="J1796" s="2064">
        <f>'Part IX Scoring Criteria'!J148</f>
        <v>0</v>
      </c>
      <c r="K1796" s="2064">
        <f>'Part IX Scoring Criteria'!K148</f>
        <v>0</v>
      </c>
      <c r="L1796" s="2064">
        <f>'Part IX Scoring Criteria'!L148</f>
        <v>0</v>
      </c>
      <c r="M1796" s="2064">
        <f>'Part IX Scoring Criteria'!M148</f>
        <v>0</v>
      </c>
      <c r="N1796" s="2064">
        <f>'Part IX Scoring Criteria'!N148</f>
        <v>0</v>
      </c>
      <c r="O1796" s="2064">
        <f>'Part IX Scoring Criteria'!O148</f>
        <v>0</v>
      </c>
      <c r="P1796" s="2064">
        <f>'Part IX Scoring Criteria'!P148</f>
        <v>0</v>
      </c>
      <c r="Q1796" s="457"/>
      <c r="R1796" s="1051"/>
      <c r="S1796" s="1051"/>
      <c r="T1796" s="1051"/>
      <c r="U1796" s="1051"/>
      <c r="V1796" s="1051"/>
      <c r="W1796" s="1051"/>
      <c r="X1796" s="1051"/>
    </row>
    <row r="1797" spans="1:24">
      <c r="A1797" s="1925"/>
      <c r="B1797" s="1925"/>
      <c r="C1797" s="2064">
        <f>'Part IX Scoring Criteria'!C149</f>
        <v>0</v>
      </c>
      <c r="D1797" s="2064">
        <f>'Part IX Scoring Criteria'!D149</f>
        <v>0</v>
      </c>
      <c r="E1797" s="2064">
        <f>'Part IX Scoring Criteria'!E149</f>
        <v>0</v>
      </c>
      <c r="F1797" s="2064">
        <f>'Part IX Scoring Criteria'!F149</f>
        <v>0</v>
      </c>
      <c r="G1797" s="2064">
        <f>'Part IX Scoring Criteria'!G149</f>
        <v>0</v>
      </c>
      <c r="H1797" s="2064">
        <f>'Part IX Scoring Criteria'!H149</f>
        <v>0</v>
      </c>
      <c r="I1797" s="2064">
        <f>'Part IX Scoring Criteria'!I149</f>
        <v>0</v>
      </c>
      <c r="J1797" s="2064">
        <f>'Part IX Scoring Criteria'!J149</f>
        <v>0</v>
      </c>
      <c r="K1797" s="2064">
        <f>'Part IX Scoring Criteria'!K149</f>
        <v>0</v>
      </c>
      <c r="L1797" s="2064">
        <f>'Part IX Scoring Criteria'!L149</f>
        <v>0</v>
      </c>
      <c r="M1797" s="2064">
        <f>'Part IX Scoring Criteria'!M149</f>
        <v>0</v>
      </c>
      <c r="N1797" s="2064">
        <f>'Part IX Scoring Criteria'!N149</f>
        <v>0</v>
      </c>
      <c r="O1797" s="2064">
        <f>'Part IX Scoring Criteria'!O149</f>
        <v>0</v>
      </c>
      <c r="P1797" s="2064">
        <f>'Part IX Scoring Criteria'!P149</f>
        <v>0</v>
      </c>
      <c r="Q1797" s="457"/>
      <c r="R1797" s="1051"/>
      <c r="S1797" s="1051"/>
      <c r="T1797" s="1051"/>
      <c r="U1797" s="1051"/>
      <c r="V1797" s="1051"/>
      <c r="W1797" s="1051"/>
      <c r="X1797" s="1051"/>
    </row>
    <row r="1798" spans="1:24" ht="14.4">
      <c r="A1798" s="1925"/>
      <c r="B1798" s="1925"/>
      <c r="C1798" s="1311"/>
      <c r="D1798" s="2066"/>
      <c r="E1798" s="2068"/>
      <c r="F1798" s="2068"/>
      <c r="G1798" s="2068"/>
      <c r="H1798" s="2068"/>
      <c r="I1798" s="2068"/>
      <c r="J1798" s="2068"/>
      <c r="K1798" s="2068"/>
      <c r="L1798" s="2068"/>
      <c r="M1798" s="2068"/>
      <c r="N1798" s="2144"/>
      <c r="O1798" s="2144"/>
      <c r="P1798" s="1955"/>
      <c r="Q1798" s="2123"/>
      <c r="R1798" s="1315"/>
      <c r="S1798" s="1315"/>
      <c r="T1798" s="1315"/>
      <c r="U1798" s="1315"/>
      <c r="V1798" s="1315"/>
      <c r="W1798" s="1315"/>
      <c r="X1798" s="1315"/>
    </row>
    <row r="1799" spans="1:24" ht="15">
      <c r="A1799" s="2064"/>
      <c r="B1799" s="2064"/>
      <c r="C1799" s="2064"/>
      <c r="D1799" s="2064"/>
      <c r="E1799" s="2064"/>
      <c r="F1799" s="2064"/>
      <c r="G1799" s="2064"/>
      <c r="H1799" s="2064"/>
      <c r="I1799" s="2064"/>
      <c r="J1799" s="2064"/>
      <c r="K1799" s="2064"/>
      <c r="L1799" s="2064"/>
      <c r="M1799" s="2064"/>
      <c r="N1799" s="2064"/>
      <c r="O1799" s="2064"/>
      <c r="P1799" s="2064"/>
      <c r="Q1799" s="2065"/>
      <c r="R1799" s="1315"/>
      <c r="S1799" s="1315"/>
      <c r="T1799" s="1315"/>
      <c r="U1799" s="1315"/>
      <c r="V1799" s="1315"/>
      <c r="W1799" s="1315"/>
      <c r="X1799" s="1315"/>
    </row>
    <row r="1800" spans="1:24" ht="14.4">
      <c r="A1800" s="1311"/>
      <c r="B1800" s="1315"/>
      <c r="C1800" s="2068"/>
      <c r="D1800" s="2068"/>
      <c r="E1800" s="2068"/>
      <c r="F1800" s="2068"/>
      <c r="G1800" s="2068"/>
      <c r="H1800" s="2068"/>
      <c r="I1800" s="2068"/>
      <c r="J1800" s="2068"/>
      <c r="K1800" s="2068"/>
      <c r="L1800" s="2068"/>
      <c r="M1800" s="2068"/>
      <c r="N1800" s="2144"/>
      <c r="O1800" s="2144"/>
      <c r="P1800" s="1955"/>
      <c r="Q1800" s="1315"/>
      <c r="R1800" s="1315"/>
      <c r="S1800" s="1315"/>
      <c r="T1800" s="1315"/>
      <c r="U1800" s="1315"/>
      <c r="V1800" s="1315"/>
      <c r="W1800" s="1315"/>
      <c r="X1800" s="1315"/>
    </row>
    <row r="1801" spans="1:24" ht="14.4">
      <c r="A1801" s="2159" t="s">
        <v>522</v>
      </c>
      <c r="B1801" s="1995" t="s">
        <v>3816</v>
      </c>
      <c r="C1801" s="2068"/>
      <c r="D1801" s="2068"/>
      <c r="E1801" s="2068"/>
      <c r="F1801" s="2068"/>
      <c r="G1801" s="2068"/>
      <c r="H1801" s="2068"/>
      <c r="I1801" s="2068"/>
      <c r="J1801" s="2068"/>
      <c r="K1801" s="2068"/>
      <c r="L1801" s="2068"/>
      <c r="M1801" s="1955">
        <v>5</v>
      </c>
      <c r="N1801" s="2144"/>
      <c r="O1801" s="2028">
        <f>'Part IX Scoring Criteria'!O153</f>
        <v>0</v>
      </c>
      <c r="P1801" s="2028">
        <f>P1803+P1819</f>
        <v>0</v>
      </c>
      <c r="Q1801" s="1955" t="s">
        <v>437</v>
      </c>
      <c r="R1801" s="1315"/>
      <c r="S1801" s="1315"/>
      <c r="T1801" s="1315"/>
      <c r="U1801" s="1315"/>
      <c r="V1801" s="1315"/>
      <c r="W1801" s="1315"/>
      <c r="X1801" s="1315"/>
    </row>
    <row r="1802" spans="1:24" ht="14.4">
      <c r="A1802" s="1311"/>
      <c r="B1802" s="1315"/>
      <c r="C1802" s="2068"/>
      <c r="D1802" s="2068"/>
      <c r="E1802" s="2068"/>
      <c r="F1802" s="2068"/>
      <c r="G1802" s="2068"/>
      <c r="H1802" s="2068"/>
      <c r="I1802" s="2068"/>
      <c r="J1802" s="2068"/>
      <c r="K1802" s="2068"/>
      <c r="L1802" s="2068"/>
      <c r="M1802" s="2068"/>
      <c r="N1802" s="2144"/>
      <c r="O1802" s="2144"/>
      <c r="P1802" s="1955"/>
      <c r="Q1802" s="1315"/>
      <c r="R1802" s="1315"/>
      <c r="S1802" s="1315"/>
      <c r="T1802" s="1315"/>
      <c r="U1802" s="1315"/>
      <c r="V1802" s="1315"/>
      <c r="W1802" s="1315"/>
      <c r="X1802" s="1315"/>
    </row>
    <row r="1803" spans="1:24" ht="14.4">
      <c r="A1803" s="1981" t="s">
        <v>1957</v>
      </c>
      <c r="B1803" s="1311" t="s">
        <v>3846</v>
      </c>
      <c r="C1803" s="2122"/>
      <c r="D1803" s="2181"/>
      <c r="E1803" s="2181"/>
      <c r="F1803" s="2122"/>
      <c r="G1803" s="2181"/>
      <c r="H1803" s="2181"/>
      <c r="I1803" s="2181"/>
      <c r="J1803" s="2181"/>
      <c r="K1803" s="2181"/>
      <c r="L1803" s="2181"/>
      <c r="M1803" s="1955">
        <v>3</v>
      </c>
      <c r="N1803" s="2162"/>
      <c r="O1803" s="1955">
        <f>'Part IX Scoring Criteria'!O155</f>
        <v>0</v>
      </c>
      <c r="P1803" s="1955"/>
      <c r="Q1803" s="2122"/>
      <c r="R1803" s="1786"/>
      <c r="S1803" s="2122"/>
      <c r="T1803" s="2122"/>
      <c r="U1803" s="2122"/>
      <c r="V1803" s="2122"/>
      <c r="W1803" s="2122"/>
      <c r="X1803" s="2122"/>
    </row>
    <row r="1804" spans="1:24" ht="14.4">
      <c r="A1804" s="1315"/>
      <c r="B1804" s="2009" t="s">
        <v>3702</v>
      </c>
      <c r="C1804" s="2110"/>
      <c r="D1804" s="2110"/>
      <c r="E1804" s="2110"/>
      <c r="F1804" s="2110"/>
      <c r="G1804" s="2110"/>
      <c r="H1804" s="2110"/>
      <c r="I1804" s="2110"/>
      <c r="J1804" s="2110"/>
      <c r="K1804" s="2110"/>
      <c r="L1804" s="2110"/>
      <c r="M1804" s="2110"/>
      <c r="N1804" s="2110"/>
      <c r="O1804" s="1314">
        <f>'Part IX Scoring Criteria'!O156</f>
        <v>0</v>
      </c>
      <c r="P1804" s="1314"/>
      <c r="Q1804" s="1315"/>
      <c r="R1804" s="2142"/>
      <c r="S1804" s="1315"/>
      <c r="T1804" s="1315"/>
      <c r="U1804" s="1315"/>
      <c r="V1804" s="1315"/>
      <c r="W1804" s="1315"/>
      <c r="X1804" s="1315"/>
    </row>
    <row r="1805" spans="1:24" ht="14.4">
      <c r="A1805" s="1981"/>
      <c r="B1805" s="2071"/>
      <c r="C1805" s="2071"/>
      <c r="D1805" s="2071"/>
      <c r="E1805" s="2071"/>
      <c r="F1805" s="2071"/>
      <c r="G1805" s="2071"/>
      <c r="H1805" s="2071"/>
      <c r="I1805" s="2071"/>
      <c r="J1805" s="2071"/>
      <c r="K1805" s="2071"/>
      <c r="L1805" s="2071"/>
      <c r="M1805" s="2071"/>
      <c r="N1805" s="1315"/>
      <c r="O1805" s="1315"/>
      <c r="P1805" s="1315"/>
      <c r="Q1805" s="1315"/>
      <c r="R1805" s="2142"/>
      <c r="S1805" s="1315"/>
      <c r="T1805" s="1315"/>
      <c r="U1805" s="1315"/>
      <c r="V1805" s="1315"/>
      <c r="W1805" s="1315"/>
      <c r="X1805" s="1315"/>
    </row>
    <row r="1806" spans="1:24" ht="15" customHeight="1">
      <c r="A1806" s="1981"/>
      <c r="B1806" s="2064" t="s">
        <v>5092</v>
      </c>
      <c r="C1806" s="2064"/>
      <c r="D1806" s="2064"/>
      <c r="E1806" s="457" t="s">
        <v>3701</v>
      </c>
      <c r="F1806" s="2122"/>
      <c r="G1806" s="457"/>
      <c r="H1806" s="2122"/>
      <c r="I1806" s="2031">
        <f>'Part IX Scoring Criteria'!I158</f>
        <v>0</v>
      </c>
      <c r="J1806" s="2031">
        <f>'Part IX Scoring Criteria'!J158</f>
        <v>0</v>
      </c>
      <c r="K1806" s="2031">
        <f>'Part IX Scoring Criteria'!K158</f>
        <v>0</v>
      </c>
      <c r="L1806" s="2031">
        <f>'Part IX Scoring Criteria'!L158</f>
        <v>0</v>
      </c>
      <c r="M1806" s="1315"/>
      <c r="N1806" s="1315"/>
      <c r="O1806" s="1315"/>
      <c r="P1806" s="1315"/>
      <c r="Q1806" s="1315"/>
      <c r="R1806" s="1315"/>
      <c r="S1806" s="1315"/>
      <c r="T1806" s="1315"/>
      <c r="U1806" s="1315"/>
      <c r="V1806" s="1315"/>
      <c r="W1806" s="1315"/>
      <c r="X1806" s="1315"/>
    </row>
    <row r="1807" spans="1:24" ht="14.4">
      <c r="A1807" s="1981"/>
      <c r="B1807" s="2064"/>
      <c r="C1807" s="2064"/>
      <c r="D1807" s="2064"/>
      <c r="E1807" s="2009" t="s">
        <v>4499</v>
      </c>
      <c r="F1807" s="2142"/>
      <c r="G1807" s="2122"/>
      <c r="H1807" s="2122"/>
      <c r="I1807" s="2009"/>
      <c r="J1807" s="1994"/>
      <c r="K1807" s="1994"/>
      <c r="L1807" s="1994"/>
      <c r="M1807" s="2122"/>
      <c r="N1807" s="2031"/>
      <c r="O1807" s="1314">
        <f>'Part IX Scoring Criteria'!O159</f>
        <v>0</v>
      </c>
      <c r="P1807" s="1314"/>
      <c r="Q1807" s="2031"/>
      <c r="R1807" s="1315"/>
      <c r="S1807" s="1315"/>
      <c r="T1807" s="1315"/>
      <c r="U1807" s="1315"/>
      <c r="V1807" s="1315"/>
      <c r="W1807" s="1315"/>
      <c r="X1807" s="1315"/>
    </row>
    <row r="1808" spans="1:24" ht="15" customHeight="1">
      <c r="A1808" s="1311"/>
      <c r="B1808" s="1315"/>
      <c r="C1808" s="2068"/>
      <c r="D1808" s="2068"/>
      <c r="E1808" s="457" t="s">
        <v>4500</v>
      </c>
      <c r="F1808" s="1314" t="str">
        <f>'Part I-Project Information'!$H$82</f>
        <v>Family</v>
      </c>
      <c r="G1808" s="1315"/>
      <c r="H1808" s="457"/>
      <c r="I1808" s="2068"/>
      <c r="J1808" s="2068"/>
      <c r="K1808" s="1315"/>
      <c r="L1808" s="1315"/>
      <c r="M1808" s="2068"/>
      <c r="N1808" s="2144"/>
      <c r="O1808" s="2031" t="s">
        <v>5093</v>
      </c>
      <c r="P1808" s="2031"/>
      <c r="Q1808" s="1315"/>
      <c r="R1808" s="1315"/>
      <c r="S1808" s="1315"/>
      <c r="T1808" s="1315"/>
      <c r="U1808" s="1315"/>
      <c r="V1808" s="1315"/>
      <c r="W1808" s="1315"/>
      <c r="X1808" s="1315"/>
    </row>
    <row r="1809" spans="1:24">
      <c r="A1809" s="2037"/>
      <c r="B1809" s="2110"/>
      <c r="C1809" s="1051"/>
      <c r="D1809" s="1051"/>
      <c r="E1809" s="1051"/>
      <c r="F1809" s="1051"/>
      <c r="G1809" s="1051"/>
      <c r="H1809" s="1051"/>
      <c r="I1809" s="1051"/>
      <c r="J1809" s="1051"/>
      <c r="K1809" s="1051"/>
      <c r="L1809" s="1051"/>
      <c r="M1809" s="1051"/>
      <c r="N1809" s="1051"/>
      <c r="O1809" s="2031"/>
      <c r="P1809" s="2031"/>
      <c r="Q1809" s="1051"/>
      <c r="R1809" s="1051"/>
      <c r="S1809" s="1051"/>
      <c r="T1809" s="1051"/>
      <c r="U1809" s="1051"/>
      <c r="V1809" s="1051"/>
      <c r="W1809" s="1051"/>
      <c r="X1809" s="1051"/>
    </row>
    <row r="1810" spans="1:24" ht="15" customHeight="1">
      <c r="A1810" s="2098" t="s">
        <v>2403</v>
      </c>
      <c r="B1810" s="1957" t="s">
        <v>4498</v>
      </c>
      <c r="C1810" s="2068"/>
      <c r="D1810" s="2068"/>
      <c r="E1810" s="457"/>
      <c r="F1810" s="2009"/>
      <c r="G1810" s="2009"/>
      <c r="H1810" s="1315"/>
      <c r="I1810" s="2068"/>
      <c r="J1810" s="2068"/>
      <c r="K1810" s="2068"/>
      <c r="L1810" s="2068"/>
      <c r="M1810" s="1853" t="s">
        <v>4497</v>
      </c>
      <c r="N1810" s="2144"/>
      <c r="O1810" s="2031"/>
      <c r="P1810" s="2031"/>
      <c r="Q1810" s="1315"/>
      <c r="R1810" s="1315"/>
      <c r="S1810" s="1315"/>
      <c r="T1810" s="2071" t="s">
        <v>4728</v>
      </c>
      <c r="U1810" s="1315"/>
      <c r="V1810" s="1315"/>
      <c r="W1810" s="1315"/>
      <c r="X1810" s="1315"/>
    </row>
    <row r="1811" spans="1:24">
      <c r="A1811" s="2037"/>
      <c r="B1811" s="2110"/>
      <c r="C1811" s="1051"/>
      <c r="D1811" s="1051"/>
      <c r="E1811" s="1051"/>
      <c r="F1811" s="1051"/>
      <c r="G1811" s="1051"/>
      <c r="H1811" s="1051"/>
      <c r="I1811" s="1051"/>
      <c r="J1811" s="1051"/>
      <c r="K1811" s="1051"/>
      <c r="L1811" s="1051"/>
      <c r="M1811" s="1853"/>
      <c r="N1811" s="1051"/>
      <c r="O1811" s="2031"/>
      <c r="P1811" s="2031"/>
      <c r="Q1811" s="1051"/>
      <c r="R1811" s="1051"/>
      <c r="S1811" s="1051"/>
      <c r="T1811" s="2071"/>
      <c r="U1811" s="1051"/>
      <c r="V1811" s="1051"/>
      <c r="W1811" s="1051"/>
      <c r="X1811" s="1051"/>
    </row>
    <row r="1812" spans="1:24" ht="15" customHeight="1">
      <c r="A1812" s="1981"/>
      <c r="B1812" s="1786"/>
      <c r="C1812" s="2037"/>
      <c r="D1812" s="2037"/>
      <c r="E1812" s="2200"/>
      <c r="F1812" s="1315"/>
      <c r="G1812" s="1315"/>
      <c r="H1812" s="2071" t="s">
        <v>3699</v>
      </c>
      <c r="I1812" s="2031" t="s">
        <v>3737</v>
      </c>
      <c r="J1812" s="2031"/>
      <c r="K1812" s="2031"/>
      <c r="L1812" s="1853" t="s">
        <v>3698</v>
      </c>
      <c r="M1812" s="1853"/>
      <c r="N1812" s="1853"/>
      <c r="O1812" s="2031"/>
      <c r="P1812" s="2031"/>
      <c r="Q1812" s="1315"/>
      <c r="R1812" s="2005" t="s">
        <v>4694</v>
      </c>
      <c r="S1812" s="1315"/>
      <c r="T1812" s="2071"/>
      <c r="U1812" s="2071" t="s">
        <v>4727</v>
      </c>
      <c r="V1812" s="1315"/>
      <c r="W1812" s="1315"/>
      <c r="X1812" s="1315"/>
    </row>
    <row r="1813" spans="1:24" ht="14.4">
      <c r="A1813" s="1981"/>
      <c r="B1813" s="2201" t="s">
        <v>3697</v>
      </c>
      <c r="C1813" s="1994"/>
      <c r="D1813" s="1786" t="s">
        <v>5094</v>
      </c>
      <c r="E1813" s="1786"/>
      <c r="F1813" s="1786"/>
      <c r="G1813" s="2084" t="s">
        <v>3333</v>
      </c>
      <c r="H1813" s="2071"/>
      <c r="I1813" s="2097">
        <v>2015</v>
      </c>
      <c r="J1813" s="2097">
        <v>2016</v>
      </c>
      <c r="K1813" s="2097">
        <v>2017</v>
      </c>
      <c r="L1813" s="1853"/>
      <c r="M1813" s="1853"/>
      <c r="N1813" s="1853"/>
      <c r="O1813" s="2031"/>
      <c r="P1813" s="2031"/>
      <c r="Q1813" s="1315"/>
      <c r="R1813" s="2005"/>
      <c r="S1813" s="1315"/>
      <c r="T1813" s="2071"/>
      <c r="U1813" s="2071"/>
      <c r="V1813" s="1315"/>
      <c r="W1813" s="1315"/>
      <c r="X1813" s="1315"/>
    </row>
    <row r="1814" spans="1:24" ht="15">
      <c r="A1814" s="1315"/>
      <c r="B1814" s="2037" t="s">
        <v>3845</v>
      </c>
      <c r="C1814" s="1315"/>
      <c r="D1814" s="2031">
        <f>'Part IX Scoring Criteria'!D166</f>
        <v>0</v>
      </c>
      <c r="E1814" s="2031">
        <f>'Part IX Scoring Criteria'!E166</f>
        <v>0</v>
      </c>
      <c r="F1814" s="2031">
        <f>'Part IX Scoring Criteria'!F166</f>
        <v>0</v>
      </c>
      <c r="G1814" s="2202">
        <f>'Part IX Scoring Criteria'!G166</f>
        <v>0</v>
      </c>
      <c r="H1814" s="2090">
        <f>'Part IX Scoring Criteria'!H166</f>
        <v>0</v>
      </c>
      <c r="I1814" s="2203">
        <f>'Part IX Scoring Criteria'!I166</f>
        <v>0</v>
      </c>
      <c r="J1814" s="2203">
        <f>'Part IX Scoring Criteria'!J166</f>
        <v>0</v>
      </c>
      <c r="K1814" s="2203">
        <f>'Part IX Scoring Criteria'!K166</f>
        <v>0</v>
      </c>
      <c r="L1814" s="2203" t="str">
        <f>IF(I1814+J1814+K1814=0,"",AVERAGE(I1814,J1814,K1814))</f>
        <v/>
      </c>
      <c r="M1814" s="1958" t="str">
        <f>IF(L1814="","",IF(L1814&gt;R1814,"Yes",IF(L1814&lt;R1814,"No","")))</f>
        <v/>
      </c>
      <c r="N1814" s="1315"/>
      <c r="O1814" s="1314">
        <f>'Part IX Scoring Criteria'!O166</f>
        <v>0</v>
      </c>
      <c r="P1814" s="1314"/>
      <c r="Q1814" s="1315"/>
      <c r="R1814" s="1956">
        <v>73.400000000000006</v>
      </c>
      <c r="S1814" s="1315"/>
      <c r="T1814" s="1958">
        <f>IF(OR(M1814="Yes",O1814="Yes"),1,0)</f>
        <v>0</v>
      </c>
      <c r="U1814" s="2065">
        <f>SUM(T1814:T1818)</f>
        <v>0</v>
      </c>
      <c r="V1814" s="1315"/>
      <c r="W1814" s="1315"/>
      <c r="X1814" s="1315"/>
    </row>
    <row r="1815" spans="1:24" ht="15">
      <c r="A1815" s="1315"/>
      <c r="B1815" s="2037" t="s">
        <v>3964</v>
      </c>
      <c r="C1815" s="1315"/>
      <c r="D1815" s="2031">
        <f>'Part IX Scoring Criteria'!D167</f>
        <v>0</v>
      </c>
      <c r="E1815" s="2031">
        <f>'Part IX Scoring Criteria'!E167</f>
        <v>0</v>
      </c>
      <c r="F1815" s="2031">
        <f>'Part IX Scoring Criteria'!F167</f>
        <v>0</v>
      </c>
      <c r="G1815" s="2202">
        <f>'Part IX Scoring Criteria'!G167</f>
        <v>0</v>
      </c>
      <c r="H1815" s="2090">
        <f>'Part IX Scoring Criteria'!H167</f>
        <v>0</v>
      </c>
      <c r="I1815" s="2203">
        <f>'Part IX Scoring Criteria'!I167</f>
        <v>0</v>
      </c>
      <c r="J1815" s="2203">
        <f>'Part IX Scoring Criteria'!J167</f>
        <v>0</v>
      </c>
      <c r="K1815" s="2203">
        <f>'Part IX Scoring Criteria'!K167</f>
        <v>0</v>
      </c>
      <c r="L1815" s="2203" t="str">
        <f>IF(I1815+J1815+K1815=0,"",AVERAGE(I1815,J1815,K1815))</f>
        <v/>
      </c>
      <c r="M1815" s="1958" t="str">
        <f>IF(L1815="","",IF(L1815&gt;R1815,"Yes",IF(L1815&lt;R1815,"No","")))</f>
        <v/>
      </c>
      <c r="N1815" s="1315"/>
      <c r="O1815" s="1314">
        <f>'Part IX Scoring Criteria'!O167</f>
        <v>0</v>
      </c>
      <c r="P1815" s="1314"/>
      <c r="Q1815" s="1315"/>
      <c r="R1815" s="1956">
        <v>72.099999999999994</v>
      </c>
      <c r="S1815" s="1315"/>
      <c r="T1815" s="1958">
        <f t="shared" ref="T1815:T1816" si="380">IF(OR(M1815="Yes",O1815="Yes"),1,0)</f>
        <v>0</v>
      </c>
      <c r="U1815" s="2065"/>
      <c r="V1815" s="1315"/>
      <c r="W1815" s="1315"/>
      <c r="X1815" s="1315"/>
    </row>
    <row r="1816" spans="1:24" ht="15">
      <c r="A1816" s="2098"/>
      <c r="B1816" s="2037" t="s">
        <v>3844</v>
      </c>
      <c r="C1816" s="1315"/>
      <c r="D1816" s="2031">
        <f>'Part IX Scoring Criteria'!D168</f>
        <v>0</v>
      </c>
      <c r="E1816" s="2031">
        <f>'Part IX Scoring Criteria'!E168</f>
        <v>0</v>
      </c>
      <c r="F1816" s="2031">
        <f>'Part IX Scoring Criteria'!F168</f>
        <v>0</v>
      </c>
      <c r="G1816" s="2202">
        <f>'Part IX Scoring Criteria'!G168</f>
        <v>0</v>
      </c>
      <c r="H1816" s="2090">
        <f>'Part IX Scoring Criteria'!H168</f>
        <v>0</v>
      </c>
      <c r="I1816" s="2203">
        <f>'Part IX Scoring Criteria'!I168</f>
        <v>0</v>
      </c>
      <c r="J1816" s="2203">
        <f>'Part IX Scoring Criteria'!J168</f>
        <v>0</v>
      </c>
      <c r="K1816" s="2203">
        <f>'Part IX Scoring Criteria'!K168</f>
        <v>0</v>
      </c>
      <c r="L1816" s="2203" t="str">
        <f>IF(I1816+J1816+K1816=0,"",AVERAGE(I1816,J1816,K1816))</f>
        <v/>
      </c>
      <c r="M1816" s="1958" t="str">
        <f>IF(L1816="","",IF(L1816&gt;R1816,"Yes",IF(L1816&lt;R1816,"No","")))</f>
        <v/>
      </c>
      <c r="N1816" s="1315"/>
      <c r="O1816" s="1314">
        <f>'Part IX Scoring Criteria'!O168</f>
        <v>0</v>
      </c>
      <c r="P1816" s="1314"/>
      <c r="Q1816" s="1315"/>
      <c r="R1816" s="1956">
        <v>73.3</v>
      </c>
      <c r="S1816" s="1315"/>
      <c r="T1816" s="1958">
        <f t="shared" si="380"/>
        <v>0</v>
      </c>
      <c r="U1816" s="2065"/>
      <c r="V1816" s="1315"/>
      <c r="W1816" s="1315"/>
      <c r="X1816" s="1315"/>
    </row>
    <row r="1817" spans="1:24" ht="14.4">
      <c r="A1817" s="2098"/>
      <c r="B1817" s="2037"/>
      <c r="C1817" s="1315"/>
      <c r="D1817" s="1315"/>
      <c r="E1817" s="1315"/>
      <c r="F1817" s="1315"/>
      <c r="G1817" s="1315"/>
      <c r="H1817" s="1315"/>
      <c r="I1817" s="1315"/>
      <c r="J1817" s="1315"/>
      <c r="K1817" s="1315"/>
      <c r="L1817" s="2204"/>
      <c r="M1817" s="1315"/>
      <c r="N1817" s="1315"/>
      <c r="O1817" s="1315"/>
      <c r="P1817" s="1315"/>
      <c r="Q1817" s="1315"/>
      <c r="R1817" s="1315"/>
      <c r="S1817" s="1315"/>
      <c r="T1817" s="1315"/>
      <c r="U1817" s="1315"/>
      <c r="V1817" s="1315"/>
      <c r="W1817" s="1315"/>
      <c r="X1817" s="1315"/>
    </row>
    <row r="1818" spans="1:24">
      <c r="A1818" s="2037"/>
      <c r="B1818" s="2110"/>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4.4">
      <c r="A1819" s="1981" t="s">
        <v>1959</v>
      </c>
      <c r="B1819" s="1311" t="s">
        <v>3847</v>
      </c>
      <c r="C1819" s="2122"/>
      <c r="D1819" s="2181"/>
      <c r="E1819" s="2181"/>
      <c r="F1819" s="2010" t="s">
        <v>3330</v>
      </c>
      <c r="G1819" s="2122"/>
      <c r="H1819" s="2009" t="s">
        <v>3738</v>
      </c>
      <c r="I1819" s="2122"/>
      <c r="J1819" s="2122"/>
      <c r="K1819" s="2122"/>
      <c r="L1819" s="2122"/>
      <c r="M1819" s="1955">
        <v>2</v>
      </c>
      <c r="N1819" s="2162"/>
      <c r="O1819" s="2028">
        <f>'Part IX Scoring Criteria'!O171</f>
        <v>0</v>
      </c>
      <c r="P1819" s="2028">
        <f>IF(AND(J1828="Yes",J1829="Yes"),$H$181,IF(AND(J1828="Yes",J1829="No"),$H$180,0))</f>
        <v>0</v>
      </c>
      <c r="Q1819" s="1955"/>
      <c r="R1819" s="1828"/>
      <c r="S1819" s="2122"/>
      <c r="T1819" s="2122"/>
      <c r="U1819" s="2122"/>
      <c r="V1819" s="2122"/>
      <c r="W1819" s="2122"/>
      <c r="X1819" s="2122"/>
    </row>
    <row r="1820" spans="1:24" ht="12.75" customHeight="1">
      <c r="A1820" s="1051"/>
      <c r="B1820" s="1051"/>
      <c r="C1820" s="1051"/>
      <c r="D1820" s="1051"/>
      <c r="E1820" s="2071" t="s">
        <v>3966</v>
      </c>
      <c r="F1820" s="2071" t="s">
        <v>3561</v>
      </c>
      <c r="G1820" s="1894" t="s">
        <v>3334</v>
      </c>
      <c r="H1820" s="1894"/>
      <c r="I1820" s="1894"/>
      <c r="J1820" s="1894"/>
      <c r="K1820" s="1894"/>
      <c r="L1820" s="1894"/>
      <c r="M1820" s="1894"/>
      <c r="N1820" s="1894"/>
      <c r="O1820" s="1051"/>
      <c r="P1820" s="2064"/>
      <c r="Q1820" s="1051"/>
      <c r="R1820" s="457" t="s">
        <v>2780</v>
      </c>
      <c r="S1820" s="457"/>
      <c r="T1820" s="457" t="str">
        <f>'Part I-Project Information'!$F$38</f>
        <v>Atlanta</v>
      </c>
      <c r="U1820" s="457"/>
      <c r="V1820" s="457"/>
      <c r="W1820" s="457"/>
      <c r="X1820" s="457"/>
    </row>
    <row r="1821" spans="1:24" ht="12.75" customHeight="1">
      <c r="A1821" s="2098"/>
      <c r="B1821" s="2071" t="s">
        <v>3850</v>
      </c>
      <c r="C1821" s="2071"/>
      <c r="D1821" s="2071"/>
      <c r="E1821" s="2071"/>
      <c r="F1821" s="2071"/>
      <c r="G1821" s="2064" t="s">
        <v>3849</v>
      </c>
      <c r="H1821" s="2064"/>
      <c r="I1821" s="2064"/>
      <c r="J1821" s="2064"/>
      <c r="K1821" s="2064"/>
      <c r="L1821" s="2064"/>
      <c r="M1821" s="2064"/>
      <c r="N1821" s="2064"/>
      <c r="O1821" s="2071" t="s">
        <v>3562</v>
      </c>
      <c r="P1821" s="2071"/>
      <c r="Q1821" s="1051"/>
      <c r="R1821" s="457" t="s">
        <v>2781</v>
      </c>
      <c r="S1821" s="457"/>
      <c r="T1821" s="457" t="str">
        <f>'Part I-Project Information'!$J$39</f>
        <v>Fulton</v>
      </c>
      <c r="U1821" s="457"/>
      <c r="V1821" s="457"/>
      <c r="W1821" s="457"/>
      <c r="X1821" s="457"/>
    </row>
    <row r="1822" spans="1:24">
      <c r="A1822" s="2098"/>
      <c r="B1822" s="457" t="s">
        <v>3703</v>
      </c>
      <c r="C1822" s="457"/>
      <c r="D1822" s="457"/>
      <c r="E1822" s="2205">
        <v>3000</v>
      </c>
      <c r="F1822" s="2205">
        <v>6000</v>
      </c>
      <c r="G1822" s="2206">
        <v>15000</v>
      </c>
      <c r="H1822" s="2206"/>
      <c r="I1822" s="2206"/>
      <c r="J1822" s="2206"/>
      <c r="K1822" s="2206"/>
      <c r="L1822" s="2206"/>
      <c r="M1822" s="2206"/>
      <c r="N1822" s="2206"/>
      <c r="O1822" s="2206">
        <v>20000</v>
      </c>
      <c r="P1822" s="2206"/>
      <c r="Q1822" s="1051"/>
      <c r="R1822" s="2009" t="s">
        <v>2782</v>
      </c>
      <c r="S1822" s="457"/>
      <c r="T1822" s="457" t="str">
        <f>'Part I-Project Information'!$O$40</f>
        <v>Atlanta-Sandy Springs-Marietta</v>
      </c>
      <c r="U1822" s="457"/>
      <c r="V1822" s="457"/>
      <c r="W1822" s="457"/>
      <c r="X1822" s="457"/>
    </row>
    <row r="1823" spans="1:24" ht="12.75" customHeight="1">
      <c r="A1823" s="2098"/>
      <c r="B1823" s="2031" t="s">
        <v>3848</v>
      </c>
      <c r="C1823" s="2031"/>
      <c r="D1823" s="2031"/>
      <c r="E1823" s="2205">
        <v>4500</v>
      </c>
      <c r="F1823" s="2205">
        <v>9000</v>
      </c>
      <c r="G1823" s="2206">
        <v>22500</v>
      </c>
      <c r="H1823" s="2206"/>
      <c r="I1823" s="2206"/>
      <c r="J1823" s="2206"/>
      <c r="K1823" s="2206"/>
      <c r="L1823" s="2206"/>
      <c r="M1823" s="2206"/>
      <c r="N1823" s="2206"/>
      <c r="O1823" s="2206">
        <v>30000</v>
      </c>
      <c r="P1823" s="2206"/>
      <c r="Q1823" s="457"/>
      <c r="R1823" s="2009" t="s">
        <v>3731</v>
      </c>
      <c r="S1823" s="457"/>
      <c r="T1823" s="457" t="str">
        <f>VLOOKUP('Part I-Project Information'!$J$39,'DCA Underwriting Assumptions'!$G$158:$J$317,4)</f>
        <v>MSA</v>
      </c>
      <c r="U1823" s="457"/>
      <c r="V1823" s="457"/>
      <c r="W1823" s="457"/>
      <c r="X1823" s="457"/>
    </row>
    <row r="1824" spans="1:24">
      <c r="A1824" s="2098"/>
      <c r="B1824" s="2098"/>
      <c r="C1824" s="1051"/>
      <c r="D1824" s="1051"/>
      <c r="E1824" s="1051"/>
      <c r="F1824" s="1051"/>
      <c r="G1824" s="1051"/>
      <c r="H1824" s="1051"/>
      <c r="I1824" s="1051"/>
      <c r="J1824" s="1051"/>
      <c r="K1824" s="2097"/>
      <c r="L1824" s="2097"/>
      <c r="M1824" s="1051"/>
      <c r="N1824" s="1051"/>
      <c r="O1824" s="1051"/>
      <c r="P1824" s="1051"/>
      <c r="Q1824" s="1051"/>
      <c r="R1824" s="1051"/>
      <c r="S1824" s="1051"/>
      <c r="T1824" s="1051"/>
      <c r="U1824" s="1051"/>
      <c r="V1824" s="1051"/>
      <c r="W1824" s="1051"/>
      <c r="X1824" s="1051"/>
    </row>
    <row r="1825" spans="1:24">
      <c r="A1825" s="1051"/>
      <c r="B1825" s="2207" t="s">
        <v>3732</v>
      </c>
      <c r="C1825" s="1051"/>
      <c r="D1825" s="1051"/>
      <c r="E1825" s="2208"/>
      <c r="F1825" s="2208"/>
      <c r="G1825" s="2208"/>
      <c r="H1825" s="1051"/>
      <c r="I1825" s="2208">
        <f>'Part IX Scoring Criteria'!I177</f>
        <v>0</v>
      </c>
      <c r="J1825" s="2208"/>
      <c r="K1825" s="1051"/>
      <c r="L1825" s="1051"/>
      <c r="M1825" s="1051"/>
      <c r="N1825" s="1051"/>
      <c r="O1825" s="1051"/>
      <c r="P1825" s="1051"/>
      <c r="Q1825" s="1051"/>
      <c r="R1825" s="457" t="s">
        <v>3534</v>
      </c>
      <c r="S1825" s="457"/>
      <c r="T1825" s="457" t="str">
        <f>'Part I-Project Information'!$K$40</f>
        <v>Urban</v>
      </c>
      <c r="U1825" s="457"/>
      <c r="V1825" s="457"/>
      <c r="W1825" s="457"/>
      <c r="X1825" s="457"/>
    </row>
    <row r="1826" spans="1:24">
      <c r="A1826" s="2037"/>
      <c r="B1826" s="2110" t="s">
        <v>3533</v>
      </c>
      <c r="C1826" s="1051"/>
      <c r="D1826" s="1051"/>
      <c r="E1826" s="1051"/>
      <c r="F1826" s="1051"/>
      <c r="G1826" s="1051"/>
      <c r="H1826" s="2109" t="str">
        <f>IF(I1826&lt;I1825,"Threshold not met!","")</f>
        <v/>
      </c>
      <c r="I1826" s="2208">
        <f>'Part IX Scoring Criteria'!I178</f>
        <v>0</v>
      </c>
      <c r="J1826" s="2208"/>
      <c r="K1826" s="2025" t="str">
        <f>IF(J1826&lt;J1825,"Threshold not met!","")</f>
        <v/>
      </c>
      <c r="L1826" s="1051"/>
      <c r="M1826" s="1051"/>
      <c r="N1826" s="1051"/>
      <c r="O1826" s="1051"/>
      <c r="P1826" s="1051"/>
      <c r="Q1826" s="1051"/>
      <c r="R1826" s="1051"/>
      <c r="S1826" s="1051"/>
      <c r="T1826" s="1051"/>
      <c r="U1826" s="1051"/>
      <c r="V1826" s="1051"/>
      <c r="W1826" s="1051"/>
      <c r="X1826" s="1051"/>
    </row>
    <row r="1827" spans="1:24">
      <c r="A1827" s="2037"/>
      <c r="B1827" s="2110"/>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2162" t="s">
        <v>1960</v>
      </c>
      <c r="C1828" s="457" t="s">
        <v>3965</v>
      </c>
      <c r="D1828" s="2025"/>
      <c r="E1828" s="2025"/>
      <c r="F1828" s="2025"/>
      <c r="G1828" s="2025"/>
      <c r="H1828" s="2209" t="s">
        <v>1960</v>
      </c>
      <c r="I1828" s="2106" t="str">
        <f>'Part IX Scoring Criteria'!I180</f>
        <v/>
      </c>
      <c r="J1828" s="210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1338</v>
      </c>
      <c r="B1829" s="2162" t="s">
        <v>1962</v>
      </c>
      <c r="C1829" s="457" t="s">
        <v>3851</v>
      </c>
      <c r="D1829" s="2200"/>
      <c r="E1829" s="2200"/>
      <c r="F1829" s="2200"/>
      <c r="G1829" s="1051"/>
      <c r="H1829" s="2209" t="s">
        <v>1962</v>
      </c>
      <c r="I1829" s="2097" t="str">
        <f>'Part IX Scoring Criteria'!I181</f>
        <v/>
      </c>
      <c r="J1829" s="2097"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981"/>
      <c r="C1830" s="2110" t="s">
        <v>3751</v>
      </c>
      <c r="D1830" s="2200"/>
      <c r="E1830" s="2200"/>
      <c r="F1830" s="2200"/>
      <c r="G1830" s="2110"/>
      <c r="H1830" s="1051"/>
      <c r="I1830" s="2107">
        <f>'Part IX Scoring Criteria'!I182</f>
        <v>0</v>
      </c>
      <c r="J1830" s="2107">
        <f>IF(J1826="",0,(J1826/J1825) - 1)</f>
        <v>0</v>
      </c>
      <c r="K1830" s="1051"/>
      <c r="L1830" s="1051"/>
      <c r="M1830" s="2097"/>
      <c r="N1830" s="1051"/>
      <c r="O1830" s="1051"/>
      <c r="P1830" s="1051"/>
      <c r="Q1830" s="1051"/>
      <c r="R1830" s="1051"/>
      <c r="S1830" s="1051"/>
      <c r="T1830" s="1051"/>
      <c r="U1830" s="1051"/>
      <c r="V1830" s="1051"/>
      <c r="W1830" s="1051"/>
      <c r="X1830" s="1051"/>
    </row>
    <row r="1831" spans="1:24">
      <c r="A1831" s="2098"/>
      <c r="B1831" s="2098"/>
      <c r="C1831" s="1051"/>
      <c r="D1831" s="1051"/>
      <c r="E1831" s="1051"/>
      <c r="F1831" s="1314"/>
      <c r="G1831" s="1051"/>
      <c r="H1831" s="1051"/>
      <c r="I1831" s="1051"/>
      <c r="J1831" s="1051"/>
      <c r="K1831" s="2097"/>
      <c r="L1831" s="2097"/>
      <c r="M1831" s="1051"/>
      <c r="N1831" s="1051"/>
      <c r="O1831" s="1051"/>
      <c r="P1831" s="1051"/>
      <c r="Q1831" s="1051"/>
      <c r="R1831" s="1051"/>
      <c r="S1831" s="1051"/>
      <c r="T1831" s="1051"/>
      <c r="U1831" s="1051"/>
      <c r="V1831" s="1051"/>
      <c r="W1831" s="1051"/>
      <c r="X1831" s="1051"/>
    </row>
    <row r="1832" spans="1:24" ht="14.4">
      <c r="A1832" s="1311"/>
      <c r="B1832" s="1997" t="s">
        <v>3645</v>
      </c>
      <c r="C1832" s="1311"/>
      <c r="D1832" s="1957"/>
      <c r="E1832" s="1957"/>
      <c r="F1832" s="1957"/>
      <c r="G1832" s="1957"/>
      <c r="H1832" s="457"/>
      <c r="I1832" s="457"/>
      <c r="J1832" s="457"/>
      <c r="K1832" s="457"/>
      <c r="L1832" s="1315"/>
      <c r="M1832" s="1955"/>
      <c r="N1832" s="1953"/>
      <c r="O1832" s="2028"/>
      <c r="P1832" s="1953"/>
      <c r="Q1832" s="1315"/>
      <c r="R1832" s="1315"/>
      <c r="S1832" s="1315"/>
      <c r="T1832" s="1315"/>
      <c r="U1832" s="1315"/>
      <c r="V1832" s="1315"/>
      <c r="W1832" s="1315"/>
      <c r="X1832" s="1315"/>
    </row>
    <row r="1833" spans="1:24" ht="51">
      <c r="A1833" s="2064" t="str">
        <f>'Part IX Scoring Criteria'!A185</f>
        <v>The applicant is not eligible for points in this category.</v>
      </c>
      <c r="B1833" s="2064"/>
      <c r="C1833" s="2064"/>
      <c r="D1833" s="2064"/>
      <c r="E1833" s="2064"/>
      <c r="F1833" s="2064"/>
      <c r="G1833" s="2064"/>
      <c r="H1833" s="2064"/>
      <c r="I1833" s="2064"/>
      <c r="J1833" s="2064"/>
      <c r="K1833" s="2064"/>
      <c r="L1833" s="2064"/>
      <c r="M1833" s="2064"/>
      <c r="N1833" s="2064"/>
      <c r="O1833" s="2064"/>
      <c r="P1833" s="2064"/>
      <c r="Q1833" s="2065" t="s">
        <v>1239</v>
      </c>
      <c r="R1833" s="1315"/>
      <c r="S1833" s="1315"/>
      <c r="T1833" s="1315"/>
      <c r="U1833" s="1315"/>
      <c r="V1833" s="1315"/>
      <c r="W1833" s="1315"/>
      <c r="X1833" s="1315"/>
    </row>
    <row r="1834" spans="1:24" ht="14.4">
      <c r="A1834" s="1311"/>
      <c r="B1834" s="2066" t="s">
        <v>1841</v>
      </c>
      <c r="C1834" s="1311"/>
      <c r="D1834" s="2066"/>
      <c r="E1834" s="2068"/>
      <c r="F1834" s="2068"/>
      <c r="G1834" s="2068"/>
      <c r="H1834" s="2068"/>
      <c r="I1834" s="2068"/>
      <c r="J1834" s="2068"/>
      <c r="K1834" s="2068"/>
      <c r="L1834" s="2068"/>
      <c r="M1834" s="2068"/>
      <c r="N1834" s="2144"/>
      <c r="O1834" s="2144"/>
      <c r="P1834" s="1955"/>
      <c r="Q1834" s="2123"/>
      <c r="R1834" s="1315"/>
      <c r="S1834" s="1315"/>
      <c r="T1834" s="1315"/>
      <c r="U1834" s="1315"/>
      <c r="V1834" s="1315"/>
      <c r="W1834" s="1315"/>
      <c r="X1834" s="1315"/>
    </row>
    <row r="1835" spans="1:24" ht="15">
      <c r="A1835" s="2064"/>
      <c r="B1835" s="2064"/>
      <c r="C1835" s="2064"/>
      <c r="D1835" s="2064"/>
      <c r="E1835" s="2064"/>
      <c r="F1835" s="2064"/>
      <c r="G1835" s="2064"/>
      <c r="H1835" s="2064"/>
      <c r="I1835" s="2064"/>
      <c r="J1835" s="2064"/>
      <c r="K1835" s="2064"/>
      <c r="L1835" s="2064"/>
      <c r="M1835" s="2064"/>
      <c r="N1835" s="2064"/>
      <c r="O1835" s="2064"/>
      <c r="P1835" s="2064"/>
      <c r="Q1835" s="2065"/>
      <c r="R1835" s="1315"/>
      <c r="S1835" s="1315"/>
      <c r="T1835" s="1315"/>
      <c r="U1835" s="2210"/>
      <c r="V1835" s="1315"/>
      <c r="W1835" s="1315"/>
      <c r="X1835" s="1315"/>
    </row>
    <row r="1836" spans="1:24" ht="14.4">
      <c r="A1836" s="1311"/>
      <c r="B1836" s="1315"/>
      <c r="C1836" s="2068"/>
      <c r="D1836" s="2068"/>
      <c r="E1836" s="2068"/>
      <c r="F1836" s="2068"/>
      <c r="G1836" s="2068"/>
      <c r="H1836" s="2068"/>
      <c r="I1836" s="2068"/>
      <c r="J1836" s="2068"/>
      <c r="K1836" s="2068"/>
      <c r="L1836" s="2068"/>
      <c r="M1836" s="2068"/>
      <c r="N1836" s="2144"/>
      <c r="O1836" s="2144"/>
      <c r="P1836" s="1955"/>
      <c r="Q1836" s="1315"/>
      <c r="R1836" s="1315"/>
      <c r="S1836" s="1315"/>
      <c r="T1836" s="1315"/>
      <c r="U1836" s="1315"/>
      <c r="V1836" s="1315"/>
      <c r="W1836" s="1315"/>
      <c r="X1836" s="1315"/>
    </row>
    <row r="1837" spans="1:24" ht="15.75" customHeight="1">
      <c r="A1837" s="2159" t="s">
        <v>761</v>
      </c>
      <c r="B1837" s="1995" t="s">
        <v>3853</v>
      </c>
      <c r="C1837" s="2122"/>
      <c r="D1837" s="1997"/>
      <c r="E1837" s="1997"/>
      <c r="F1837" s="2122"/>
      <c r="G1837" s="2122"/>
      <c r="H1837" s="2122"/>
      <c r="I1837" s="2211"/>
      <c r="J1837" s="2211"/>
      <c r="K1837" s="1314"/>
      <c r="L1837" s="1314"/>
      <c r="M1837" s="1955">
        <v>7</v>
      </c>
      <c r="N1837" s="1955"/>
      <c r="O1837" s="2028">
        <f>'Part IX Scoring Criteria'!O189</f>
        <v>7</v>
      </c>
      <c r="P1837" s="2028">
        <f>IF(OR(P$153&gt;0,P$277&gt;0),0,MIN($M$189,P1853+P1858))</f>
        <v>0</v>
      </c>
      <c r="Q1837" s="1955" t="s">
        <v>437</v>
      </c>
      <c r="R1837" s="2005" t="s">
        <v>4507</v>
      </c>
      <c r="S1837" s="2005"/>
      <c r="T1837" s="2122"/>
      <c r="U1837" s="2122"/>
      <c r="V1837" s="2122"/>
      <c r="W1837" s="2122"/>
      <c r="X1837" s="2122"/>
    </row>
    <row r="1838" spans="1:24" ht="14.4">
      <c r="A1838" s="1955"/>
      <c r="B1838" s="1315"/>
      <c r="C1838" s="1957"/>
      <c r="D1838" s="1957"/>
      <c r="E1838" s="1786"/>
      <c r="F1838" s="1957"/>
      <c r="G1838" s="1957"/>
      <c r="H1838" s="1957"/>
      <c r="I1838" s="1957"/>
      <c r="J1838" s="1957"/>
      <c r="K1838" s="1957"/>
      <c r="L1838" s="1957"/>
      <c r="M1838" s="1957"/>
      <c r="N1838" s="1957"/>
      <c r="O1838" s="1957"/>
      <c r="P1838" s="1957"/>
      <c r="Q1838" s="1315"/>
      <c r="R1838" s="2005"/>
      <c r="S1838" s="2005"/>
      <c r="T1838" s="1315"/>
      <c r="U1838" s="1315"/>
      <c r="V1838" s="1315"/>
      <c r="W1838" s="1315"/>
      <c r="X1838" s="1315"/>
    </row>
    <row r="1839" spans="1:24" ht="15" customHeight="1">
      <c r="A1839" s="1955"/>
      <c r="B1839" s="2031" t="s">
        <v>4507</v>
      </c>
      <c r="C1839" s="2031"/>
      <c r="D1839" s="2031"/>
      <c r="E1839" s="2031"/>
      <c r="F1839" s="2031"/>
      <c r="G1839" s="2031"/>
      <c r="H1839" s="2031"/>
      <c r="I1839" s="2031"/>
      <c r="J1839" s="2031"/>
      <c r="K1839" s="2031"/>
      <c r="L1839" s="2031"/>
      <c r="M1839" s="2031"/>
      <c r="N1839" s="2031"/>
      <c r="O1839" s="2031"/>
      <c r="P1839" s="2031"/>
      <c r="Q1839" s="1315"/>
      <c r="R1839" s="2005"/>
      <c r="S1839" s="2005"/>
      <c r="T1839" s="1315"/>
      <c r="U1839" s="1315"/>
      <c r="V1839" s="1315"/>
      <c r="W1839" s="1315"/>
      <c r="X1839" s="1315"/>
    </row>
    <row r="1840" spans="1:24" ht="14.4">
      <c r="A1840" s="1955"/>
      <c r="B1840" s="1957" t="s">
        <v>4789</v>
      </c>
      <c r="C1840" s="1957"/>
      <c r="D1840" s="1957"/>
      <c r="E1840" s="1957"/>
      <c r="F1840" s="1957"/>
      <c r="G1840" s="1957"/>
      <c r="H1840" s="1957"/>
      <c r="I1840" s="1957"/>
      <c r="J1840" s="1957"/>
      <c r="K1840" s="2097" t="s">
        <v>2477</v>
      </c>
      <c r="L1840" s="2097" t="s">
        <v>2477</v>
      </c>
      <c r="M1840" s="1315"/>
      <c r="N1840" s="2025"/>
      <c r="O1840" s="1315"/>
      <c r="P1840" s="2025"/>
      <c r="Q1840" s="1315"/>
      <c r="R1840" s="2005"/>
      <c r="S1840" s="2005"/>
      <c r="T1840" s="1315"/>
      <c r="U1840" s="1315"/>
      <c r="V1840" s="1315"/>
      <c r="W1840" s="1315"/>
      <c r="X1840" s="1315"/>
    </row>
    <row r="1841" spans="1:24" ht="12.75" customHeight="1">
      <c r="A1841" s="2006"/>
      <c r="B1841" s="2095" t="s">
        <v>2403</v>
      </c>
      <c r="C1841" s="2064" t="s">
        <v>4612</v>
      </c>
      <c r="D1841" s="2064"/>
      <c r="E1841" s="2064"/>
      <c r="F1841" s="2064"/>
      <c r="G1841" s="2064"/>
      <c r="H1841" s="2064"/>
      <c r="I1841" s="2064"/>
      <c r="J1841" s="2095" t="s">
        <v>2403</v>
      </c>
      <c r="K1841" s="1314" t="str">
        <f>'Part IX Scoring Criteria'!K193</f>
        <v>Yes</v>
      </c>
      <c r="L1841" s="1314"/>
      <c r="M1841" s="2212">
        <f>'Part IX Scoring Criteria'!M193</f>
        <v>7</v>
      </c>
      <c r="N1841" s="2212">
        <f>'Part IX Scoring Criteria'!N193</f>
        <v>0</v>
      </c>
      <c r="O1841" s="2212">
        <f>'Part IX Scoring Criteria'!O193</f>
        <v>0</v>
      </c>
      <c r="P1841" s="2212">
        <f>'Part IX Scoring Criteria'!P193</f>
        <v>0</v>
      </c>
      <c r="Q1841" s="2006"/>
      <c r="R1841" s="2005"/>
      <c r="S1841" s="2005"/>
      <c r="T1841" s="2006"/>
      <c r="U1841" s="2006"/>
      <c r="V1841" s="2006"/>
      <c r="W1841" s="2006"/>
      <c r="X1841" s="2006"/>
    </row>
    <row r="1842" spans="1:24" ht="14.4">
      <c r="A1842" s="1953"/>
      <c r="B1842" s="2098"/>
      <c r="C1842" s="2064"/>
      <c r="D1842" s="2064"/>
      <c r="E1842" s="2064"/>
      <c r="F1842" s="2064"/>
      <c r="G1842" s="2064"/>
      <c r="H1842" s="2064"/>
      <c r="I1842" s="2064"/>
      <c r="J1842" s="1315"/>
      <c r="K1842" s="2213"/>
      <c r="L1842" s="2213"/>
      <c r="M1842" s="1315"/>
      <c r="N1842" s="1315"/>
      <c r="O1842" s="1315"/>
      <c r="P1842" s="1315"/>
      <c r="Q1842" s="1315"/>
      <c r="R1842" s="2005"/>
      <c r="S1842" s="2005"/>
      <c r="T1842" s="1315"/>
      <c r="U1842" s="1315"/>
      <c r="V1842" s="1315"/>
      <c r="W1842" s="1315"/>
      <c r="X1842" s="1315"/>
    </row>
    <row r="1843" spans="1:24" ht="15" customHeight="1">
      <c r="A1843" s="1955"/>
      <c r="B1843" s="2098" t="s">
        <v>2404</v>
      </c>
      <c r="C1843" s="2031" t="s">
        <v>5095</v>
      </c>
      <c r="D1843" s="2031"/>
      <c r="E1843" s="2031"/>
      <c r="F1843" s="2031"/>
      <c r="G1843" s="2031"/>
      <c r="H1843" s="2122"/>
      <c r="I1843" s="2122"/>
      <c r="J1843" s="2098" t="s">
        <v>2404</v>
      </c>
      <c r="K1843" s="1314" t="str">
        <f>'Part IX Scoring Criteria'!K195</f>
        <v>Yes</v>
      </c>
      <c r="L1843" s="1314"/>
      <c r="M1843" s="2212" t="str">
        <f>'Part IX Scoring Criteria'!M195</f>
        <v>68-81</v>
      </c>
      <c r="N1843" s="2212">
        <f>'Part IX Scoring Criteria'!N195</f>
        <v>0</v>
      </c>
      <c r="O1843" s="2212">
        <f>'Part IX Scoring Criteria'!O195</f>
        <v>0</v>
      </c>
      <c r="P1843" s="2212">
        <f>'Part IX Scoring Criteria'!P195</f>
        <v>0</v>
      </c>
      <c r="Q1843" s="2122"/>
      <c r="R1843" s="2005"/>
      <c r="S1843" s="2005"/>
      <c r="T1843" s="2122"/>
      <c r="U1843" s="2122"/>
      <c r="V1843" s="2122"/>
      <c r="W1843" s="2122"/>
      <c r="X1843" s="2122"/>
    </row>
    <row r="1844" spans="1:24" ht="12.75" customHeight="1">
      <c r="A1844" s="1311"/>
      <c r="B1844" s="2098" t="s">
        <v>2405</v>
      </c>
      <c r="C1844" s="457" t="s">
        <v>4502</v>
      </c>
      <c r="D1844" s="457"/>
      <c r="E1844" s="457"/>
      <c r="F1844" s="457"/>
      <c r="G1844" s="457"/>
      <c r="H1844" s="457"/>
      <c r="I1844" s="1311"/>
      <c r="J1844" s="2098" t="s">
        <v>2405</v>
      </c>
      <c r="K1844" s="1314" t="str">
        <f>'Part IX Scoring Criteria'!K196</f>
        <v>Yes</v>
      </c>
      <c r="L1844" s="1314"/>
      <c r="M1844" s="2212" t="str">
        <f>'Part IX Scoring Criteria'!M196</f>
        <v>28-67</v>
      </c>
      <c r="N1844" s="2212">
        <f>'Part IX Scoring Criteria'!N196</f>
        <v>0</v>
      </c>
      <c r="O1844" s="2212">
        <f>'Part IX Scoring Criteria'!O196</f>
        <v>0</v>
      </c>
      <c r="P1844" s="2212">
        <f>'Part IX Scoring Criteria'!P196</f>
        <v>0</v>
      </c>
      <c r="Q1844" s="1311"/>
      <c r="R1844" s="2005"/>
      <c r="S1844" s="2005"/>
      <c r="T1844" s="1311"/>
      <c r="U1844" s="1311"/>
      <c r="V1844" s="1311"/>
      <c r="W1844" s="1311"/>
      <c r="X1844" s="1311"/>
    </row>
    <row r="1845" spans="1:24" ht="12.75" customHeight="1">
      <c r="A1845" s="1311"/>
      <c r="B1845" s="2098" t="s">
        <v>2407</v>
      </c>
      <c r="C1845" s="457" t="s">
        <v>4503</v>
      </c>
      <c r="D1845" s="457"/>
      <c r="E1845" s="457"/>
      <c r="F1845" s="457"/>
      <c r="G1845" s="457"/>
      <c r="H1845" s="457"/>
      <c r="I1845" s="1311"/>
      <c r="J1845" s="2098" t="s">
        <v>2407</v>
      </c>
      <c r="K1845" s="1314" t="str">
        <f>'Part IX Scoring Criteria'!K197</f>
        <v>Yes</v>
      </c>
      <c r="L1845" s="1314"/>
      <c r="M1845" s="2212" t="str">
        <f>'Part IX Scoring Criteria'!M197</f>
        <v>123 and 127</v>
      </c>
      <c r="N1845" s="2212">
        <f>'Part IX Scoring Criteria'!N197</f>
        <v>0</v>
      </c>
      <c r="O1845" s="2212">
        <f>'Part IX Scoring Criteria'!O197</f>
        <v>0</v>
      </c>
      <c r="P1845" s="2212">
        <f>'Part IX Scoring Criteria'!P197</f>
        <v>0</v>
      </c>
      <c r="Q1845" s="1311"/>
      <c r="R1845" s="2005"/>
      <c r="S1845" s="2005"/>
      <c r="T1845" s="1311"/>
      <c r="U1845" s="1311"/>
      <c r="V1845" s="1311"/>
      <c r="W1845" s="1311"/>
      <c r="X1845" s="1311"/>
    </row>
    <row r="1846" spans="1:24" ht="12.75" customHeight="1">
      <c r="A1846" s="1311"/>
      <c r="B1846" s="2098" t="s">
        <v>2406</v>
      </c>
      <c r="C1846" s="457" t="s">
        <v>4505</v>
      </c>
      <c r="D1846" s="457"/>
      <c r="E1846" s="457"/>
      <c r="F1846" s="457"/>
      <c r="G1846" s="457"/>
      <c r="H1846" s="457"/>
      <c r="I1846" s="1311"/>
      <c r="J1846" s="2098" t="s">
        <v>2406</v>
      </c>
      <c r="K1846" s="1314" t="str">
        <f>'Part IX Scoring Criteria'!K198</f>
        <v>Yes</v>
      </c>
      <c r="L1846" s="1314"/>
      <c r="M1846" s="2212" t="str">
        <f>'Part IX Scoring Criteria'!M198</f>
        <v>139-142</v>
      </c>
      <c r="N1846" s="2212">
        <f>'Part IX Scoring Criteria'!N198</f>
        <v>0</v>
      </c>
      <c r="O1846" s="2212">
        <f>'Part IX Scoring Criteria'!O198</f>
        <v>0</v>
      </c>
      <c r="P1846" s="2212">
        <f>'Part IX Scoring Criteria'!P198</f>
        <v>0</v>
      </c>
      <c r="Q1846" s="1311"/>
      <c r="R1846" s="2005"/>
      <c r="S1846" s="2005"/>
      <c r="T1846" s="1311"/>
      <c r="U1846" s="1311"/>
      <c r="V1846" s="1311"/>
      <c r="W1846" s="1311"/>
      <c r="X1846" s="1311"/>
    </row>
    <row r="1847" spans="1:24" ht="12.75" customHeight="1">
      <c r="A1847" s="1311"/>
      <c r="B1847" s="2098" t="s">
        <v>2423</v>
      </c>
      <c r="C1847" s="457" t="s">
        <v>4504</v>
      </c>
      <c r="D1847" s="457"/>
      <c r="E1847" s="457"/>
      <c r="F1847" s="457"/>
      <c r="G1847" s="457"/>
      <c r="H1847" s="1311"/>
      <c r="I1847" s="1311"/>
      <c r="J1847" s="2098" t="s">
        <v>2423</v>
      </c>
      <c r="K1847" s="1314" t="str">
        <f>'Part IX Scoring Criteria'!K199</f>
        <v>Yes</v>
      </c>
      <c r="L1847" s="1314"/>
      <c r="M1847" s="2212" t="str">
        <f>'Part IX Scoring Criteria'!M199</f>
        <v>135, 140, 143</v>
      </c>
      <c r="N1847" s="2212">
        <f>'Part IX Scoring Criteria'!N199</f>
        <v>0</v>
      </c>
      <c r="O1847" s="2212">
        <f>'Part IX Scoring Criteria'!O199</f>
        <v>0</v>
      </c>
      <c r="P1847" s="2212">
        <f>'Part IX Scoring Criteria'!P199</f>
        <v>0</v>
      </c>
      <c r="Q1847" s="1311"/>
      <c r="R1847" s="2005"/>
      <c r="S1847" s="2005"/>
      <c r="T1847" s="1311"/>
      <c r="U1847" s="1311"/>
      <c r="V1847" s="1311"/>
      <c r="W1847" s="1311"/>
      <c r="X1847" s="1311"/>
    </row>
    <row r="1848" spans="1:24" ht="12.75" customHeight="1">
      <c r="A1848" s="1311"/>
      <c r="B1848" s="2098" t="s">
        <v>2424</v>
      </c>
      <c r="C1848" s="2031" t="s">
        <v>4610</v>
      </c>
      <c r="D1848" s="2031"/>
      <c r="E1848" s="2031"/>
      <c r="F1848" s="2031"/>
      <c r="G1848" s="2031"/>
      <c r="H1848" s="2031"/>
      <c r="I1848" s="2031"/>
      <c r="J1848" s="2098" t="s">
        <v>2424</v>
      </c>
      <c r="K1848" s="1314" t="str">
        <f>'Part IX Scoring Criteria'!K200</f>
        <v>Yes</v>
      </c>
      <c r="L1848" s="1314"/>
      <c r="M1848" s="1311"/>
      <c r="N1848" s="1311"/>
      <c r="O1848" s="1311"/>
      <c r="P1848" s="1311"/>
      <c r="Q1848" s="1311"/>
      <c r="R1848" s="2005"/>
      <c r="S1848" s="2005"/>
      <c r="T1848" s="1311"/>
      <c r="U1848" s="1311"/>
      <c r="V1848" s="1311"/>
      <c r="W1848" s="1311"/>
      <c r="X1848" s="1311"/>
    </row>
    <row r="1849" spans="1:24" ht="14.4">
      <c r="A1849" s="1953"/>
      <c r="B1849" s="2098"/>
      <c r="C1849" s="2031"/>
      <c r="D1849" s="2031"/>
      <c r="E1849" s="2031"/>
      <c r="F1849" s="2031"/>
      <c r="G1849" s="2031"/>
      <c r="H1849" s="2031"/>
      <c r="I1849" s="2031"/>
      <c r="J1849" s="2098" t="s">
        <v>4611</v>
      </c>
      <c r="K1849" s="2214">
        <f>'Part IX Scoring Criteria'!K201</f>
        <v>43283</v>
      </c>
      <c r="L1849" s="2214"/>
      <c r="M1849" s="457"/>
      <c r="N1849" s="457"/>
      <c r="O1849" s="457"/>
      <c r="P1849" s="457"/>
      <c r="Q1849" s="1315"/>
      <c r="R1849" s="2005"/>
      <c r="S1849" s="2005"/>
      <c r="T1849" s="1315"/>
      <c r="U1849" s="1315"/>
      <c r="V1849" s="1315"/>
      <c r="W1849" s="1315"/>
      <c r="X1849" s="1315"/>
    </row>
    <row r="1850" spans="1:24" ht="12.75" customHeight="1">
      <c r="A1850" s="1311"/>
      <c r="B1850" s="2095" t="s">
        <v>2425</v>
      </c>
      <c r="C1850" s="2064" t="s">
        <v>4508</v>
      </c>
      <c r="D1850" s="2064"/>
      <c r="E1850" s="2064"/>
      <c r="F1850" s="2064"/>
      <c r="G1850" s="2064"/>
      <c r="H1850" s="2064"/>
      <c r="I1850" s="2064"/>
      <c r="J1850" s="2098" t="s">
        <v>2425</v>
      </c>
      <c r="K1850" s="1314" t="str">
        <f>'Part IX Scoring Criteria'!K202</f>
        <v>Agree</v>
      </c>
      <c r="L1850" s="1314"/>
      <c r="M1850" s="1311"/>
      <c r="N1850" s="1311"/>
      <c r="O1850" s="1311"/>
      <c r="P1850" s="1311"/>
      <c r="Q1850" s="1311"/>
      <c r="R1850" s="2005"/>
      <c r="S1850" s="2005"/>
      <c r="T1850" s="1311"/>
      <c r="U1850" s="1311"/>
      <c r="V1850" s="1311"/>
      <c r="W1850" s="1311"/>
      <c r="X1850" s="1311"/>
    </row>
    <row r="1851" spans="1:24" ht="14.4">
      <c r="A1851" s="1953"/>
      <c r="B1851" s="2098"/>
      <c r="C1851" s="2064"/>
      <c r="D1851" s="2064"/>
      <c r="E1851" s="2064"/>
      <c r="F1851" s="2064"/>
      <c r="G1851" s="2064"/>
      <c r="H1851" s="2064"/>
      <c r="I1851" s="2064"/>
      <c r="J1851" s="1315"/>
      <c r="K1851" s="2213"/>
      <c r="L1851" s="2213"/>
      <c r="M1851" s="1315"/>
      <c r="N1851" s="1315"/>
      <c r="O1851" s="1315"/>
      <c r="P1851" s="1315"/>
      <c r="Q1851" s="1315"/>
      <c r="R1851" s="2005"/>
      <c r="S1851" s="2005"/>
      <c r="T1851" s="1315"/>
      <c r="U1851" s="1315"/>
      <c r="V1851" s="1315"/>
      <c r="W1851" s="1315"/>
      <c r="X1851" s="1315"/>
    </row>
    <row r="1852" spans="1:24">
      <c r="B1852" s="2098"/>
      <c r="C1852" s="457"/>
      <c r="K1852" s="2009"/>
      <c r="M1852" s="1953"/>
      <c r="N1852" s="1953"/>
      <c r="O1852" s="1953"/>
      <c r="P1852" s="1953"/>
    </row>
    <row r="1853" spans="1:24">
      <c r="A1853" s="1981" t="s">
        <v>1957</v>
      </c>
      <c r="B1853" s="1957" t="s">
        <v>3852</v>
      </c>
      <c r="I1853" s="1051" t="s">
        <v>4506</v>
      </c>
      <c r="M1853" s="1955">
        <v>5</v>
      </c>
      <c r="N1853" s="2098" t="s">
        <v>1957</v>
      </c>
      <c r="O1853" s="2164">
        <f>'Part IX Scoring Criteria'!O205</f>
        <v>5</v>
      </c>
      <c r="P1853" s="2164">
        <f>IF(SUM(P1854:P1855)=$M$207,0,MIN($M$205,SUM(P1854:P1855)))</f>
        <v>0</v>
      </c>
      <c r="Q1853" s="1828"/>
      <c r="X1853" s="1953"/>
    </row>
    <row r="1854" spans="1:24" ht="12.75" customHeight="1">
      <c r="A1854" s="2098"/>
      <c r="B1854" s="2215" t="s">
        <v>1960</v>
      </c>
      <c r="C1854" s="2064" t="s">
        <v>4790</v>
      </c>
      <c r="D1854" s="2064"/>
      <c r="E1854" s="2064"/>
      <c r="F1854" s="2064"/>
      <c r="G1854" s="2064"/>
      <c r="H1854" s="2064"/>
      <c r="I1854" s="2064"/>
      <c r="J1854" s="2064"/>
      <c r="K1854" s="2064"/>
      <c r="L1854" s="2064"/>
      <c r="M1854" s="2096">
        <v>3</v>
      </c>
      <c r="N1854" s="2136" t="s">
        <v>1960</v>
      </c>
      <c r="O1854" s="2120">
        <f>'Part IX Scoring Criteria'!O206</f>
        <v>3</v>
      </c>
      <c r="P1854" s="2120"/>
      <c r="Q1854" s="2173" t="str">
        <f>IF(OR($O1854=$M1854,$O1854=0,$O1854=""),"","*CHECK!*")</f>
        <v/>
      </c>
      <c r="R1854" s="1781" t="s">
        <v>2667</v>
      </c>
    </row>
    <row r="1855" spans="1:24" ht="13.8">
      <c r="A1855" s="2098"/>
      <c r="B1855" s="2215" t="s">
        <v>1962</v>
      </c>
      <c r="C1855" s="2061" t="s">
        <v>5096</v>
      </c>
      <c r="D1855" s="2061"/>
      <c r="E1855" s="2061"/>
      <c r="F1855" s="2061"/>
      <c r="G1855" s="2061"/>
      <c r="H1855" s="2061"/>
      <c r="I1855" s="2061"/>
      <c r="J1855" s="2009" t="s">
        <v>3667</v>
      </c>
      <c r="K1855" s="1311"/>
      <c r="L1855" s="2009" t="str">
        <f>'Part I-Project Information'!$N$39</f>
        <v>Yes</v>
      </c>
      <c r="M1855" s="1314">
        <v>2</v>
      </c>
      <c r="N1855" s="2184" t="s">
        <v>1962</v>
      </c>
      <c r="O1855" s="2028">
        <f>'Part IX Scoring Criteria'!O207</f>
        <v>2</v>
      </c>
      <c r="P1855" s="2028"/>
      <c r="Q1855" s="2121" t="str">
        <f>IF(OR($O1855=$M1855,$O1855=0,$O1855=""),"","*CHECK!*")</f>
        <v/>
      </c>
      <c r="R1855" s="1781" t="s">
        <v>2667</v>
      </c>
    </row>
    <row r="1856" spans="1:24" ht="12.75" customHeight="1">
      <c r="A1856" s="2098"/>
      <c r="B1856" s="2215"/>
      <c r="C1856" s="2031" t="s">
        <v>4598</v>
      </c>
      <c r="D1856" s="2031"/>
      <c r="E1856" s="2031"/>
      <c r="F1856" s="2031"/>
      <c r="G1856" s="2031"/>
      <c r="H1856" s="2031"/>
      <c r="I1856" s="2068"/>
      <c r="J1856" s="2009" t="s">
        <v>3504</v>
      </c>
      <c r="K1856" s="2031"/>
      <c r="L1856" s="2216" t="str">
        <f>'Part I-Project Information'!$O$38</f>
        <v>0067.00</v>
      </c>
      <c r="M1856" s="2216"/>
      <c r="N1856" s="2096"/>
      <c r="O1856" s="2096"/>
      <c r="P1856" s="2096"/>
      <c r="Q1856" s="2121"/>
      <c r="R1856" s="1781"/>
    </row>
    <row r="1857" spans="1:24">
      <c r="A1857" s="2098"/>
      <c r="B1857" s="2110"/>
      <c r="C1857" s="2031"/>
      <c r="D1857" s="2031"/>
      <c r="E1857" s="2031"/>
      <c r="F1857" s="2031"/>
      <c r="G1857" s="2031"/>
      <c r="H1857" s="2031"/>
      <c r="J1857" s="2009" t="s">
        <v>3314</v>
      </c>
      <c r="K1857" s="1311"/>
      <c r="L1857" s="457" t="str">
        <f>'Part IV-A-Uses of Funds'!$H$152</f>
        <v>DDA/QCT</v>
      </c>
      <c r="M1857" s="457"/>
    </row>
    <row r="1858" spans="1:24" ht="13.8">
      <c r="A1858" s="1981" t="s">
        <v>1959</v>
      </c>
      <c r="B1858" s="1957" t="s">
        <v>4509</v>
      </c>
      <c r="D1858" s="1311"/>
      <c r="F1858" s="2217"/>
      <c r="K1858" s="1988"/>
      <c r="L1858" s="2142" t="str">
        <f>IF(OR($O1858=$M1858,$O1858=0,$O1858=""),"","* * Check Score! * *")</f>
        <v/>
      </c>
      <c r="M1858" s="1955">
        <v>2</v>
      </c>
      <c r="N1858" s="2098" t="s">
        <v>1959</v>
      </c>
      <c r="O1858" s="2028">
        <f>'Part IX Scoring Criteria'!O210</f>
        <v>2</v>
      </c>
      <c r="P1858" s="2028"/>
      <c r="Q1858" s="2121" t="str">
        <f>IF(OR($O1858=$M1858,$O1858=0,$O1858=""),"","*CHECK!*")</f>
        <v/>
      </c>
      <c r="R1858" s="1781" t="s">
        <v>2667</v>
      </c>
    </row>
    <row r="1859" spans="1:24" ht="18">
      <c r="A1859" s="1981"/>
      <c r="B1859" s="2122"/>
      <c r="C1859" s="457" t="s">
        <v>2748</v>
      </c>
      <c r="D1859" s="457"/>
      <c r="E1859" s="457"/>
      <c r="F1859" s="1955"/>
      <c r="G1859" s="2122"/>
      <c r="H1859" s="457"/>
      <c r="I1859" s="2122"/>
      <c r="J1859" s="457" t="str">
        <f>'Part I-Project Information'!$H$105</f>
        <v>Flexible</v>
      </c>
      <c r="K1859" s="2009"/>
      <c r="L1859" s="2122"/>
      <c r="M1859" s="2122"/>
      <c r="N1859" s="2122"/>
      <c r="O1859" s="2122"/>
      <c r="P1859" s="2122"/>
      <c r="Q1859" s="1315"/>
      <c r="R1859" s="1315"/>
      <c r="S1859" s="1315"/>
      <c r="T1859" s="2142" t="str">
        <f>IF(OR($O1858=$M1858,$O1858=0,$O1858=""),"","* * Check Score! * *")</f>
        <v/>
      </c>
      <c r="U1859" s="1315"/>
      <c r="V1859" s="2146"/>
      <c r="W1859" s="2146"/>
      <c r="X1859" s="1315"/>
    </row>
    <row r="1860" spans="1:24" ht="224.4">
      <c r="A1860" s="1988"/>
      <c r="B1860" s="2162" t="s">
        <v>3668</v>
      </c>
      <c r="C1860" s="457" t="s">
        <v>3728</v>
      </c>
      <c r="D1860" s="2122"/>
      <c r="E1860" s="2122"/>
      <c r="F1860" s="2122"/>
      <c r="G1860" s="2122"/>
      <c r="H1860" s="2122"/>
      <c r="I1860" s="2122"/>
      <c r="J1860" s="2031" t="str">
        <f>'Part IX Scoring Criteria'!J212</f>
        <v>FCS Urban Ministries receives ongoing charitable donatoins and grants to fund their blight removal program. Commitment letters from a few donors have been included in Tab 32. Foundation donation letters  inclued in Tab 32: Courts Foundation, Campbell Foundation, Joseph Whitehead Foundation.</v>
      </c>
      <c r="K1860" s="2031">
        <f>'Part IX Scoring Criteria'!K212</f>
        <v>0</v>
      </c>
      <c r="L1860" s="2031">
        <f>'Part IX Scoring Criteria'!L212</f>
        <v>0</v>
      </c>
      <c r="M1860" s="2031">
        <f>'Part IX Scoring Criteria'!M212</f>
        <v>0</v>
      </c>
      <c r="N1860" s="2031">
        <f>'Part IX Scoring Criteria'!N212</f>
        <v>0</v>
      </c>
      <c r="O1860" s="2031">
        <f>'Part IX Scoring Criteria'!O212</f>
        <v>0</v>
      </c>
      <c r="P1860" s="2031">
        <f>'Part IX Scoring Criteria'!P212</f>
        <v>0</v>
      </c>
      <c r="Q1860" s="1315"/>
      <c r="R1860" s="1315"/>
      <c r="S1860" s="1315"/>
      <c r="T1860" s="1315"/>
      <c r="U1860" s="1315"/>
      <c r="V1860" s="2146"/>
      <c r="W1860" s="2146"/>
      <c r="X1860" s="1315"/>
    </row>
    <row r="1861" spans="1:24" ht="18">
      <c r="A1861" s="1988"/>
      <c r="B1861" s="2098" t="s">
        <v>3669</v>
      </c>
      <c r="C1861" s="2009" t="s">
        <v>3729</v>
      </c>
      <c r="D1861" s="2122"/>
      <c r="E1861" s="2122"/>
      <c r="F1861" s="2122"/>
      <c r="G1861" s="2122"/>
      <c r="H1861" s="2122"/>
      <c r="I1861" s="2098" t="str">
        <f>IF($J$213="Government", "Additional documentation required - see QAP.","")</f>
        <v/>
      </c>
      <c r="J1861" s="457" t="str">
        <f>'Part IX Scoring Criteria'!J213</f>
        <v>Foundation</v>
      </c>
      <c r="K1861" s="457">
        <f>'Part IX Scoring Criteria'!K213</f>
        <v>0</v>
      </c>
      <c r="L1861" s="457">
        <f>'Part IX Scoring Criteria'!L213</f>
        <v>0</v>
      </c>
      <c r="M1861" s="2122"/>
      <c r="N1861" s="2122"/>
      <c r="O1861" s="2122"/>
      <c r="P1861" s="2122"/>
      <c r="Q1861" s="1315"/>
      <c r="R1861" s="1315"/>
      <c r="S1861" s="1315"/>
      <c r="T1861" s="1315"/>
      <c r="U1861" s="1315"/>
      <c r="V1861" s="2146"/>
      <c r="W1861" s="2146"/>
      <c r="X1861" s="1315"/>
    </row>
    <row r="1862" spans="1:24" ht="18.75" customHeight="1">
      <c r="A1862" s="2045"/>
      <c r="B1862" s="2098" t="s">
        <v>3670</v>
      </c>
      <c r="C1862" s="2009" t="s">
        <v>4514</v>
      </c>
      <c r="D1862" s="1311"/>
      <c r="E1862" s="1311"/>
      <c r="F1862" s="1311"/>
      <c r="G1862" s="1311"/>
      <c r="H1862" s="1311"/>
      <c r="I1862" s="1311"/>
      <c r="J1862" s="1314" t="str">
        <f>'Part IX Scoring Criteria'!J214</f>
        <v>Yes</v>
      </c>
      <c r="K1862" s="2031" t="s">
        <v>4511</v>
      </c>
      <c r="L1862" s="2031"/>
      <c r="M1862" s="2031"/>
      <c r="N1862" s="2031"/>
      <c r="O1862" s="2122"/>
      <c r="P1862" s="2122"/>
      <c r="V1862" s="2146"/>
      <c r="W1862" s="2146"/>
    </row>
    <row r="1863" spans="1:24" ht="18">
      <c r="A1863" s="2045"/>
      <c r="B1863" s="2098" t="s">
        <v>3672</v>
      </c>
      <c r="C1863" s="2009" t="s">
        <v>4510</v>
      </c>
      <c r="D1863" s="1311"/>
      <c r="E1863" s="1311"/>
      <c r="F1863" s="1311"/>
      <c r="G1863" s="1311"/>
      <c r="H1863" s="1311"/>
      <c r="I1863" s="1311"/>
      <c r="J1863" s="1314" t="str">
        <f>'Part IX Scoring Criteria'!J215</f>
        <v>Yes</v>
      </c>
      <c r="K1863" s="2031"/>
      <c r="L1863" s="2031"/>
      <c r="M1863" s="2031"/>
      <c r="N1863" s="2031"/>
      <c r="O1863" s="2218">
        <f>'Part IX Scoring Criteria'!O215</f>
        <v>0.5</v>
      </c>
      <c r="P1863" s="2132" t="s">
        <v>3675</v>
      </c>
      <c r="V1863" s="2146"/>
      <c r="W1863" s="2146"/>
    </row>
    <row r="1864" spans="1:24" ht="18">
      <c r="A1864" s="2045"/>
      <c r="B1864" s="2098" t="s">
        <v>3673</v>
      </c>
      <c r="C1864" s="2009" t="s">
        <v>4513</v>
      </c>
      <c r="D1864" s="1311"/>
      <c r="E1864" s="1311"/>
      <c r="F1864" s="1311"/>
      <c r="G1864" s="1311"/>
      <c r="H1864" s="1311"/>
      <c r="I1864" s="1311"/>
      <c r="J1864" s="1314" t="str">
        <f>'Part IX Scoring Criteria'!J216</f>
        <v>Yes</v>
      </c>
      <c r="L1864" s="2098" t="s">
        <v>4512</v>
      </c>
      <c r="N1864" s="2098"/>
      <c r="O1864" s="2219">
        <f>'Part IX Scoring Criteria'!O216</f>
        <v>43465</v>
      </c>
      <c r="P1864" s="2219">
        <f>'Part IX Scoring Criteria'!P216</f>
        <v>0</v>
      </c>
      <c r="V1864" s="2146"/>
      <c r="W1864" s="2146"/>
    </row>
    <row r="1865" spans="1:24" ht="18">
      <c r="A1865" s="2045"/>
      <c r="G1865" s="2061"/>
      <c r="L1865" s="2006"/>
      <c r="N1865" s="1953"/>
      <c r="O1865" s="1953"/>
      <c r="P1865" s="1953"/>
      <c r="V1865" s="2146"/>
      <c r="W1865" s="2146"/>
    </row>
    <row r="1866" spans="1:24" ht="18.75" customHeight="1">
      <c r="A1866" s="2220" t="s">
        <v>3969</v>
      </c>
      <c r="B1866" s="1925" t="s">
        <v>3967</v>
      </c>
      <c r="C1866" s="1925"/>
      <c r="D1866" s="1852" t="str">
        <f>'Part IX Scoring Criteria'!D218</f>
        <v xml:space="preserve">FCS Urban Ministries initially raised $465,000 in private capital to rehab and sell 10 homes in the South Atlanta community . After these successes they were able to grow the fund to $1,400,000 through philanthropy (commitments have been included in Tab 32) and a zero interest $500K loan from a local Atlanta Foundation. </v>
      </c>
      <c r="E1866" s="1852">
        <f>'Part IX Scoring Criteria'!E218</f>
        <v>0</v>
      </c>
      <c r="F1866" s="1852">
        <f>'Part IX Scoring Criteria'!F218</f>
        <v>0</v>
      </c>
      <c r="G1866" s="1852">
        <f>'Part IX Scoring Criteria'!G218</f>
        <v>0</v>
      </c>
      <c r="H1866" s="1852">
        <f>'Part IX Scoring Criteria'!H218</f>
        <v>0</v>
      </c>
      <c r="I1866" s="1852">
        <f>'Part IX Scoring Criteria'!I218</f>
        <v>0</v>
      </c>
      <c r="J1866" s="1852">
        <f>'Part IX Scoring Criteria'!J218</f>
        <v>0</v>
      </c>
      <c r="K1866" s="1852">
        <f>'Part IX Scoring Criteria'!K218</f>
        <v>0</v>
      </c>
      <c r="L1866" s="1852">
        <f>'Part IX Scoring Criteria'!L218</f>
        <v>0</v>
      </c>
      <c r="M1866" s="1852">
        <f>'Part IX Scoring Criteria'!M218</f>
        <v>0</v>
      </c>
      <c r="N1866" s="1852">
        <f>'Part IX Scoring Criteria'!N218</f>
        <v>0</v>
      </c>
      <c r="O1866" s="1852">
        <f>'Part IX Scoring Criteria'!O218</f>
        <v>0</v>
      </c>
      <c r="P1866" s="1852">
        <f>'Part IX Scoring Criteria'!P218</f>
        <v>0</v>
      </c>
      <c r="Q1866" s="2065"/>
      <c r="V1866" s="2146"/>
      <c r="W1866" s="2146"/>
    </row>
    <row r="1867" spans="1:24" ht="18.75" customHeight="1">
      <c r="A1867" s="2220"/>
      <c r="B1867" s="1925" t="s">
        <v>3968</v>
      </c>
      <c r="C1867" s="1925"/>
      <c r="D1867" s="1852" t="str">
        <f>'Part IX Scoring Criteria'!D219</f>
        <v xml:space="preserve">FCSs redevelopment and repositioning of the blighted parcels in the neighborhood is a strategic objective of the revitalization plan.  FCS has worked with and collaborated with the South Atlanta Civic Center over the last two decades to implement this strategy to improve the neighorhood for existing and future residents. </v>
      </c>
      <c r="E1867" s="1852">
        <f>'Part IX Scoring Criteria'!E219</f>
        <v>0</v>
      </c>
      <c r="F1867" s="1852">
        <f>'Part IX Scoring Criteria'!F219</f>
        <v>0</v>
      </c>
      <c r="G1867" s="1852">
        <f>'Part IX Scoring Criteria'!G219</f>
        <v>0</v>
      </c>
      <c r="H1867" s="1852">
        <f>'Part IX Scoring Criteria'!H219</f>
        <v>0</v>
      </c>
      <c r="I1867" s="1852">
        <f>'Part IX Scoring Criteria'!I219</f>
        <v>0</v>
      </c>
      <c r="J1867" s="1852">
        <f>'Part IX Scoring Criteria'!J219</f>
        <v>0</v>
      </c>
      <c r="K1867" s="1852">
        <f>'Part IX Scoring Criteria'!K219</f>
        <v>0</v>
      </c>
      <c r="L1867" s="1852">
        <f>'Part IX Scoring Criteria'!L219</f>
        <v>0</v>
      </c>
      <c r="M1867" s="1852">
        <f>'Part IX Scoring Criteria'!M219</f>
        <v>0</v>
      </c>
      <c r="N1867" s="1852">
        <f>'Part IX Scoring Criteria'!N219</f>
        <v>0</v>
      </c>
      <c r="O1867" s="1852">
        <f>'Part IX Scoring Criteria'!O219</f>
        <v>0</v>
      </c>
      <c r="P1867" s="1852">
        <f>'Part IX Scoring Criteria'!P219</f>
        <v>0</v>
      </c>
      <c r="Q1867" s="2065"/>
      <c r="V1867" s="2146"/>
      <c r="W1867" s="2146"/>
    </row>
    <row r="1868" spans="1:24" ht="18.75" customHeight="1">
      <c r="A1868" s="2220"/>
      <c r="B1868" s="1925" t="s">
        <v>4593</v>
      </c>
      <c r="C1868" s="1925"/>
      <c r="D1868" s="1852" t="str">
        <f>'Part IX Scoring Criteria'!D220</f>
        <v xml:space="preserve">Blighted abandoned property can be a danger to the public and lead to an increase in crime.  Blight has a negative effect on surrounding property values which not only hurts adjacent property owners but reduces local property tax revenue, and has severely detrimental effects on neighborhoods. </v>
      </c>
      <c r="E1868" s="1852">
        <f>'Part IX Scoring Criteria'!E220</f>
        <v>0</v>
      </c>
      <c r="F1868" s="1852">
        <f>'Part IX Scoring Criteria'!F220</f>
        <v>0</v>
      </c>
      <c r="G1868" s="1852">
        <f>'Part IX Scoring Criteria'!G220</f>
        <v>0</v>
      </c>
      <c r="H1868" s="1852">
        <f>'Part IX Scoring Criteria'!H220</f>
        <v>0</v>
      </c>
      <c r="I1868" s="1852">
        <f>'Part IX Scoring Criteria'!I220</f>
        <v>0</v>
      </c>
      <c r="J1868" s="1852">
        <f>'Part IX Scoring Criteria'!J220</f>
        <v>0</v>
      </c>
      <c r="K1868" s="1852">
        <f>'Part IX Scoring Criteria'!K220</f>
        <v>0</v>
      </c>
      <c r="L1868" s="1852">
        <f>'Part IX Scoring Criteria'!L220</f>
        <v>0</v>
      </c>
      <c r="M1868" s="1852">
        <f>'Part IX Scoring Criteria'!M220</f>
        <v>0</v>
      </c>
      <c r="N1868" s="1852">
        <f>'Part IX Scoring Criteria'!N220</f>
        <v>0</v>
      </c>
      <c r="O1868" s="1852">
        <f>'Part IX Scoring Criteria'!O220</f>
        <v>0</v>
      </c>
      <c r="P1868" s="1852">
        <f>'Part IX Scoring Criteria'!P220</f>
        <v>0</v>
      </c>
      <c r="Q1868" s="2065"/>
      <c r="V1868" s="2146"/>
      <c r="W1868" s="2146"/>
    </row>
    <row r="1869" spans="1:24" ht="18">
      <c r="B1869" s="457" t="s">
        <v>3388</v>
      </c>
      <c r="G1869" s="457" t="s">
        <v>2595</v>
      </c>
      <c r="H1869" s="457"/>
      <c r="J1869" s="2221">
        <f>'Part IX Scoring Criteria'!J221</f>
        <v>4715175</v>
      </c>
      <c r="K1869" s="2221">
        <f>'Part IX Scoring Criteria'!K221</f>
        <v>0</v>
      </c>
      <c r="L1869" s="2133"/>
      <c r="M1869" s="2133"/>
      <c r="N1869" s="1953"/>
      <c r="O1869" s="1953"/>
      <c r="P1869" s="1953"/>
      <c r="V1869" s="2146"/>
      <c r="W1869" s="2146"/>
    </row>
    <row r="1870" spans="1:24" ht="18">
      <c r="A1870" s="1315"/>
      <c r="B1870" s="1315"/>
      <c r="C1870" s="457" t="s">
        <v>4275</v>
      </c>
      <c r="D1870" s="2068"/>
      <c r="E1870" s="1315"/>
      <c r="F1870" s="1315"/>
      <c r="G1870" s="2133">
        <f>'Part IV-A-Uses of Funds'!$G$132</f>
        <v>15872847</v>
      </c>
      <c r="H1870" s="2133"/>
      <c r="I1870" s="1315"/>
      <c r="J1870" s="2222">
        <f>'Part IX Scoring Criteria'!J222</f>
        <v>0.29705918541267362</v>
      </c>
      <c r="K1870" s="2222">
        <f>'Part IX Scoring Criteria'!K222</f>
        <v>0</v>
      </c>
      <c r="L1870" s="2222">
        <f>IF($L1869=0,0,$L1869/$G$222)</f>
        <v>0</v>
      </c>
      <c r="M1870" s="2222"/>
      <c r="N1870" s="1315"/>
      <c r="O1870" s="1315"/>
      <c r="P1870" s="1315"/>
      <c r="Q1870" s="1315"/>
      <c r="R1870" s="1315"/>
      <c r="S1870" s="1315"/>
      <c r="T1870" s="1315"/>
      <c r="U1870" s="1315"/>
      <c r="V1870" s="2146"/>
      <c r="W1870" s="2146"/>
      <c r="X1870" s="1315"/>
    </row>
    <row r="1871" spans="1:24" ht="14.4">
      <c r="A1871" s="1311"/>
      <c r="B1871" s="1997" t="s">
        <v>3645</v>
      </c>
      <c r="C1871" s="1311"/>
      <c r="D1871" s="1957"/>
      <c r="E1871" s="1957"/>
      <c r="F1871" s="1957"/>
      <c r="G1871" s="1957"/>
      <c r="H1871" s="457"/>
      <c r="I1871" s="457"/>
      <c r="J1871" s="457"/>
      <c r="K1871" s="457"/>
      <c r="L1871" s="2122"/>
      <c r="M1871" s="1955"/>
      <c r="N1871" s="1955"/>
      <c r="O1871" s="2028"/>
      <c r="P1871" s="1955"/>
      <c r="Q1871" s="2122"/>
      <c r="R1871" s="2122"/>
      <c r="S1871" s="2122"/>
      <c r="T1871" s="2122"/>
      <c r="U1871" s="2122"/>
      <c r="V1871" s="2122"/>
      <c r="W1871" s="2122"/>
      <c r="X1871" s="2122"/>
    </row>
    <row r="1872" spans="1:24" ht="193.8">
      <c r="A1872" s="2064" t="str">
        <f>'Part IX Scoring Criteria'!A224</f>
        <v xml:space="preserve">The applicant has included an approved community revitalization plan. The revitalization certificate has been executed and included in Tab 32. Additionally, all off site improvement documentation has been included in Tab 32. </v>
      </c>
      <c r="B1872" s="2064"/>
      <c r="C1872" s="2064"/>
      <c r="D1872" s="2064"/>
      <c r="E1872" s="2064"/>
      <c r="F1872" s="2064"/>
      <c r="G1872" s="2064"/>
      <c r="H1872" s="2064"/>
      <c r="I1872" s="2064"/>
      <c r="J1872" s="2064"/>
      <c r="K1872" s="2064"/>
      <c r="L1872" s="2064"/>
      <c r="M1872" s="2064"/>
      <c r="N1872" s="2064"/>
      <c r="O1872" s="2064"/>
      <c r="P1872" s="2064"/>
      <c r="Q1872" s="2065" t="s">
        <v>1239</v>
      </c>
      <c r="R1872" s="1315"/>
      <c r="S1872" s="1315"/>
      <c r="T1872" s="1315"/>
      <c r="U1872" s="1315"/>
      <c r="V1872" s="1315"/>
      <c r="W1872" s="1315"/>
      <c r="X1872" s="1315"/>
    </row>
    <row r="1873" spans="1:24" ht="14.4">
      <c r="A1873" s="1311"/>
      <c r="B1873" s="1997" t="s">
        <v>1841</v>
      </c>
      <c r="C1873" s="1311"/>
      <c r="D1873" s="1997"/>
      <c r="E1873" s="1994"/>
      <c r="F1873" s="1994"/>
      <c r="G1873" s="1994"/>
      <c r="H1873" s="1994"/>
      <c r="I1873" s="1994"/>
      <c r="J1873" s="1994"/>
      <c r="K1873" s="1994"/>
      <c r="L1873" s="1994"/>
      <c r="M1873" s="1994"/>
      <c r="N1873" s="1967"/>
      <c r="O1873" s="1967"/>
      <c r="P1873" s="1955"/>
      <c r="Q1873" s="2123"/>
      <c r="R1873" s="2122"/>
      <c r="S1873" s="2122"/>
      <c r="T1873" s="2122"/>
      <c r="U1873" s="2122"/>
      <c r="V1873" s="2122"/>
      <c r="W1873" s="2122"/>
      <c r="X1873" s="2122"/>
    </row>
    <row r="1874" spans="1:24" ht="15">
      <c r="A1874" s="2064"/>
      <c r="B1874" s="2064"/>
      <c r="C1874" s="2064"/>
      <c r="D1874" s="2064"/>
      <c r="E1874" s="2064"/>
      <c r="F1874" s="2064"/>
      <c r="G1874" s="2064"/>
      <c r="H1874" s="2064"/>
      <c r="I1874" s="2064"/>
      <c r="J1874" s="2064"/>
      <c r="K1874" s="2064"/>
      <c r="L1874" s="2064"/>
      <c r="M1874" s="2064"/>
      <c r="N1874" s="2064"/>
      <c r="O1874" s="2064"/>
      <c r="P1874" s="2064"/>
      <c r="Q1874" s="2065"/>
      <c r="R1874" s="1315"/>
      <c r="S1874" s="1315"/>
      <c r="T1874" s="1315"/>
      <c r="U1874" s="1315"/>
      <c r="V1874" s="1315"/>
      <c r="W1874" s="1315"/>
      <c r="X1874" s="1315"/>
    </row>
    <row r="1875" spans="1:24" ht="14.4">
      <c r="A1875" s="1311"/>
      <c r="B1875" s="1315"/>
      <c r="C1875" s="2068"/>
      <c r="D1875" s="2068"/>
      <c r="E1875" s="2068"/>
      <c r="F1875" s="2068"/>
      <c r="G1875" s="2068"/>
      <c r="H1875" s="2068"/>
      <c r="I1875" s="2068"/>
      <c r="J1875" s="2068"/>
      <c r="K1875" s="2068"/>
      <c r="L1875" s="2068"/>
      <c r="M1875" s="2068"/>
      <c r="N1875" s="2144"/>
      <c r="O1875" s="2144"/>
      <c r="P1875" s="1955"/>
      <c r="Q1875" s="1315"/>
      <c r="R1875" s="1315"/>
      <c r="S1875" s="1315"/>
      <c r="T1875" s="1315"/>
      <c r="U1875" s="1315"/>
      <c r="V1875" s="1315"/>
      <c r="W1875" s="1315"/>
      <c r="X1875" s="1315"/>
    </row>
    <row r="1876" spans="1:24" ht="14.4">
      <c r="A1876" s="2159" t="s">
        <v>289</v>
      </c>
      <c r="B1876" s="1995" t="s">
        <v>3854</v>
      </c>
      <c r="C1876" s="2068"/>
      <c r="D1876" s="2068"/>
      <c r="E1876" s="2068"/>
      <c r="F1876" s="2068"/>
      <c r="G1876" s="2068"/>
      <c r="H1876" s="2068"/>
      <c r="I1876" s="2068"/>
      <c r="J1876" s="2068"/>
      <c r="K1876" s="1315"/>
      <c r="L1876" s="1315"/>
      <c r="M1876" s="1955">
        <v>3</v>
      </c>
      <c r="N1876" s="2144"/>
      <c r="O1876" s="2144"/>
      <c r="P1876" s="2028"/>
      <c r="Q1876" s="1955" t="s">
        <v>437</v>
      </c>
      <c r="R1876" s="1781" t="s">
        <v>2667</v>
      </c>
      <c r="S1876" s="1315"/>
      <c r="T1876" s="1315"/>
      <c r="U1876" s="1315"/>
      <c r="V1876" s="1315"/>
      <c r="W1876" s="1315"/>
      <c r="X1876" s="1315"/>
    </row>
    <row r="1877" spans="1:24" ht="14.4">
      <c r="A1877" s="2159"/>
      <c r="B1877" s="1957" t="s">
        <v>4279</v>
      </c>
      <c r="C1877" s="2068"/>
      <c r="D1877" s="2068"/>
      <c r="E1877" s="2068"/>
      <c r="F1877" s="2068"/>
      <c r="G1877" s="2068"/>
      <c r="H1877" s="2068"/>
      <c r="I1877" s="2068"/>
      <c r="J1877" s="2068"/>
      <c r="K1877" s="2090"/>
      <c r="L1877" s="2223" t="str">
        <f>'Part IX Scoring Criteria'!L229</f>
        <v/>
      </c>
      <c r="M1877" s="1955"/>
      <c r="N1877" s="2144"/>
      <c r="O1877" s="1314" t="str">
        <f>'Part IX Scoring Criteria'!O229</f>
        <v>Yes</v>
      </c>
      <c r="P1877" s="1314"/>
      <c r="Q1877" s="1955"/>
      <c r="R1877" s="1781"/>
      <c r="S1877" s="1315"/>
      <c r="T1877" s="1315"/>
      <c r="U1877" s="1315"/>
      <c r="V1877" s="1315"/>
      <c r="W1877" s="1315"/>
      <c r="X1877" s="1315"/>
    </row>
    <row r="1878" spans="1:24" ht="14.4">
      <c r="A1878" s="2159"/>
      <c r="B1878" s="2009" t="s">
        <v>3855</v>
      </c>
      <c r="C1878" s="2068"/>
      <c r="D1878" s="2068"/>
      <c r="E1878" s="2068"/>
      <c r="F1878" s="2068"/>
      <c r="G1878" s="2068"/>
      <c r="H1878" s="2068"/>
      <c r="I1878" s="2068"/>
      <c r="J1878" s="2068"/>
      <c r="K1878" s="2090" t="s">
        <v>3189</v>
      </c>
      <c r="L1878" s="2090" t="s">
        <v>253</v>
      </c>
      <c r="M1878" s="1955"/>
      <c r="N1878" s="2144"/>
      <c r="O1878" s="2144"/>
      <c r="P1878" s="2144"/>
      <c r="Q1878" s="1955"/>
      <c r="R1878" s="1781"/>
      <c r="S1878" s="1315"/>
      <c r="T1878" s="1315"/>
      <c r="U1878" s="1315"/>
      <c r="V1878" s="1315"/>
      <c r="W1878" s="1315"/>
      <c r="X1878" s="1315"/>
    </row>
    <row r="1879" spans="1:24" ht="14.4">
      <c r="A1879" s="1981"/>
      <c r="B1879" s="1315"/>
      <c r="C1879" s="1051" t="s">
        <v>4521</v>
      </c>
      <c r="D1879" s="1315"/>
      <c r="E1879" s="1315"/>
      <c r="F1879" s="1315"/>
      <c r="G1879" s="1315"/>
      <c r="H1879" s="1315"/>
      <c r="I1879" s="1315"/>
      <c r="J1879" s="1315"/>
      <c r="K1879" s="2164">
        <f>$O$189</f>
        <v>0</v>
      </c>
      <c r="L1879" s="2164">
        <f>$P$189</f>
        <v>0</v>
      </c>
      <c r="M1879" s="1315"/>
      <c r="N1879" s="2098" t="s">
        <v>2403</v>
      </c>
      <c r="O1879" s="1314" t="str">
        <f>'Part IX Scoring Criteria'!O231</f>
        <v>Yes</v>
      </c>
      <c r="P1879" s="1314"/>
      <c r="Q1879" s="1315"/>
      <c r="R1879" s="2142"/>
      <c r="S1879" s="1315"/>
      <c r="T1879" s="1315"/>
      <c r="U1879" s="1315"/>
      <c r="V1879" s="1315"/>
      <c r="W1879" s="1315"/>
      <c r="X1879" s="1315"/>
    </row>
    <row r="1880" spans="1:24" ht="18">
      <c r="A1880" s="1981"/>
      <c r="B1880" s="1315"/>
      <c r="C1880" s="1051" t="s">
        <v>4522</v>
      </c>
      <c r="D1880" s="1315"/>
      <c r="E1880" s="1315"/>
      <c r="F1880" s="1315"/>
      <c r="G1880" s="1315"/>
      <c r="H1880" s="1315"/>
      <c r="I1880" s="1315"/>
      <c r="J1880" s="1315"/>
      <c r="K1880" s="2164">
        <f>$O$107</f>
        <v>0</v>
      </c>
      <c r="L1880" s="2164" t="str">
        <f>$P$107</f>
        <v>Other Non-Sr</v>
      </c>
      <c r="M1880" s="1315"/>
      <c r="N1880" s="2098" t="s">
        <v>2404</v>
      </c>
      <c r="O1880" s="1314" t="str">
        <f>'Part IX Scoring Criteria'!O232</f>
        <v>Yes</v>
      </c>
      <c r="P1880" s="1314"/>
      <c r="Q1880" s="1315"/>
      <c r="R1880" s="2146"/>
      <c r="S1880" s="2146"/>
      <c r="T1880" s="1315"/>
      <c r="U1880" s="1315"/>
      <c r="V1880" s="1315"/>
      <c r="W1880" s="1315"/>
      <c r="X1880" s="1315"/>
    </row>
    <row r="1881" spans="1:24" ht="18">
      <c r="A1881" s="1315"/>
      <c r="B1881" s="1315"/>
      <c r="C1881" s="1051" t="s">
        <v>4523</v>
      </c>
      <c r="D1881" s="1315"/>
      <c r="E1881" s="1315"/>
      <c r="F1881" s="1315"/>
      <c r="G1881" s="1315"/>
      <c r="H1881" s="1315"/>
      <c r="I1881" s="1315"/>
      <c r="J1881" s="1315"/>
      <c r="K1881" s="1315"/>
      <c r="L1881" s="1315"/>
      <c r="M1881" s="1315"/>
      <c r="N1881" s="2098" t="s">
        <v>2405</v>
      </c>
      <c r="O1881" s="1314" t="str">
        <f>'Part IX Scoring Criteria'!O233</f>
        <v>Yes</v>
      </c>
      <c r="P1881" s="1314"/>
      <c r="Q1881" s="1315"/>
      <c r="R1881" s="2146"/>
      <c r="S1881" s="2146"/>
      <c r="T1881" s="1315"/>
      <c r="U1881" s="1315"/>
      <c r="V1881" s="1315"/>
      <c r="W1881" s="1315"/>
      <c r="X1881" s="1315"/>
    </row>
    <row r="1882" spans="1:24" ht="18">
      <c r="A1882" s="1981"/>
      <c r="B1882" s="1315"/>
      <c r="C1882" s="1051" t="s">
        <v>3856</v>
      </c>
      <c r="D1882" s="1315"/>
      <c r="E1882" s="1315"/>
      <c r="F1882" s="1315"/>
      <c r="G1882" s="1315"/>
      <c r="H1882" s="1315"/>
      <c r="I1882" s="1315"/>
      <c r="J1882" s="1315"/>
      <c r="K1882" s="2174">
        <f>'Part I-Project Information'!F1686</f>
        <v>0</v>
      </c>
      <c r="L1882" s="2204"/>
      <c r="M1882" s="1315"/>
      <c r="N1882" s="2098" t="s">
        <v>2406</v>
      </c>
      <c r="O1882" s="2098"/>
      <c r="P1882" s="1314"/>
      <c r="Q1882" s="1315"/>
      <c r="R1882" s="2146"/>
      <c r="S1882" s="2146"/>
      <c r="T1882" s="1315"/>
      <c r="U1882" s="1315"/>
      <c r="V1882" s="1315"/>
      <c r="W1882" s="1315"/>
      <c r="X1882" s="1315"/>
    </row>
    <row r="1883" spans="1:24" ht="18">
      <c r="A1883" s="1981"/>
      <c r="B1883" s="1315"/>
      <c r="C1883" s="1051" t="s">
        <v>4614</v>
      </c>
      <c r="D1883" s="1315"/>
      <c r="E1883" s="1315"/>
      <c r="F1883" s="1315"/>
      <c r="G1883" s="1315"/>
      <c r="H1883" s="1315"/>
      <c r="I1883" s="1315"/>
      <c r="J1883" s="1315"/>
      <c r="K1883" s="2164">
        <f>$O$153</f>
        <v>0</v>
      </c>
      <c r="L1883" s="2164">
        <f>$P$153</f>
        <v>0</v>
      </c>
      <c r="M1883" s="1315"/>
      <c r="N1883" s="2098" t="s">
        <v>2407</v>
      </c>
      <c r="O1883" s="1314" t="str">
        <f>'Part IX Scoring Criteria'!O235</f>
        <v>No</v>
      </c>
      <c r="P1883" s="1314"/>
      <c r="Q1883" s="1315"/>
      <c r="R1883" s="2146"/>
      <c r="S1883" s="2146"/>
      <c r="T1883" s="1315"/>
      <c r="U1883" s="1315"/>
      <c r="V1883" s="1315"/>
      <c r="W1883" s="1315"/>
      <c r="X1883" s="1315"/>
    </row>
    <row r="1884" spans="1:24" ht="18">
      <c r="A1884" s="1981"/>
      <c r="B1884" s="1315"/>
      <c r="C1884" s="1051" t="s">
        <v>4613</v>
      </c>
      <c r="D1884" s="1315"/>
      <c r="E1884" s="1315"/>
      <c r="F1884" s="1315"/>
      <c r="G1884" s="1315"/>
      <c r="H1884" s="1315"/>
      <c r="I1884" s="1315"/>
      <c r="J1884" s="1315"/>
      <c r="K1884" s="2164">
        <f>$O$277</f>
        <v>0</v>
      </c>
      <c r="L1884" s="2164">
        <f>$P$277</f>
        <v>0</v>
      </c>
      <c r="M1884" s="1315"/>
      <c r="N1884" s="2098" t="s">
        <v>2406</v>
      </c>
      <c r="O1884" s="1314" t="str">
        <f>'Part IX Scoring Criteria'!O236</f>
        <v>No</v>
      </c>
      <c r="P1884" s="1314"/>
      <c r="Q1884" s="1315"/>
      <c r="R1884" s="2146"/>
      <c r="S1884" s="2146"/>
      <c r="T1884" s="1315"/>
      <c r="U1884" s="1315"/>
      <c r="V1884" s="1315"/>
      <c r="W1884" s="1315"/>
      <c r="X1884" s="1315"/>
    </row>
    <row r="1885" spans="1:24" ht="14.4">
      <c r="A1885" s="1311"/>
      <c r="B1885" s="1315"/>
      <c r="C1885" s="2068"/>
      <c r="D1885" s="2068"/>
      <c r="E1885" s="2068"/>
      <c r="F1885" s="2068"/>
      <c r="G1885" s="2068"/>
      <c r="H1885" s="2068"/>
      <c r="I1885" s="2068"/>
      <c r="J1885" s="2068"/>
      <c r="K1885" s="2068"/>
      <c r="L1885" s="2068"/>
      <c r="M1885" s="2068"/>
      <c r="N1885" s="2144"/>
      <c r="O1885" s="2144"/>
      <c r="P1885" s="1955"/>
      <c r="Q1885" s="1315"/>
      <c r="R1885" s="1315"/>
      <c r="S1885" s="1315"/>
      <c r="T1885" s="1315"/>
      <c r="U1885" s="1315"/>
      <c r="V1885" s="1315"/>
      <c r="W1885" s="1315"/>
      <c r="X1885" s="1315"/>
    </row>
    <row r="1886" spans="1:24">
      <c r="A1886" s="1981" t="s">
        <v>1957</v>
      </c>
      <c r="B1886" s="1957" t="s">
        <v>4791</v>
      </c>
      <c r="D1886" s="1311"/>
      <c r="G1886" s="2110" t="s">
        <v>3671</v>
      </c>
      <c r="Q1886" s="1828"/>
    </row>
    <row r="1887" spans="1:24" ht="12.75" customHeight="1">
      <c r="A1887" s="2098"/>
      <c r="B1887" s="457" t="s">
        <v>3733</v>
      </c>
      <c r="C1887" s="1311"/>
      <c r="D1887" s="457" t="str">
        <f>'Part IX Scoring Criteria'!D239</f>
        <v>FCS Urban Ministries, Inc.</v>
      </c>
      <c r="E1887" s="457">
        <f>'Part IX Scoring Criteria'!E239</f>
        <v>0</v>
      </c>
      <c r="F1887" s="457">
        <f>'Part IX Scoring Criteria'!F239</f>
        <v>0</v>
      </c>
      <c r="G1887" s="457">
        <f>'Part IX Scoring Criteria'!G239</f>
        <v>0</v>
      </c>
      <c r="H1887" s="457">
        <f>'Part IX Scoring Criteria'!H239</f>
        <v>0</v>
      </c>
      <c r="I1887" s="2009" t="s">
        <v>2666</v>
      </c>
      <c r="J1887" s="457" t="str">
        <f>'Part IX Scoring Criteria'!J239</f>
        <v>https://www.fcsministries.org/</v>
      </c>
      <c r="K1887" s="457">
        <f>'Part IX Scoring Criteria'!K239</f>
        <v>0</v>
      </c>
      <c r="L1887" s="457">
        <f>'Part IX Scoring Criteria'!L239</f>
        <v>0</v>
      </c>
      <c r="M1887" s="457">
        <f>'Part IX Scoring Criteria'!M239</f>
        <v>0</v>
      </c>
      <c r="N1887" s="457">
        <f>'Part IX Scoring Criteria'!N239</f>
        <v>0</v>
      </c>
      <c r="O1887" s="1311"/>
      <c r="P1887" s="1311"/>
      <c r="Q1887" s="1828"/>
      <c r="R1887" s="1785" t="s">
        <v>5097</v>
      </c>
      <c r="S1887" s="1785"/>
      <c r="T1887" s="1311"/>
      <c r="U1887" s="1311"/>
      <c r="V1887" s="1311"/>
      <c r="W1887" s="1311"/>
      <c r="X1887" s="1311"/>
    </row>
    <row r="1888" spans="1:24" ht="18">
      <c r="A1888" s="2098"/>
      <c r="B1888" s="457" t="s">
        <v>2167</v>
      </c>
      <c r="C1888" s="1311"/>
      <c r="D1888" s="457" t="str">
        <f>'Part IX Scoring Criteria'!D240</f>
        <v>Jim Wehner</v>
      </c>
      <c r="E1888" s="457">
        <f>'Part IX Scoring Criteria'!E240</f>
        <v>0</v>
      </c>
      <c r="F1888" s="457">
        <f>'Part IX Scoring Criteria'!F240</f>
        <v>0</v>
      </c>
      <c r="G1888" s="457" t="s">
        <v>1700</v>
      </c>
      <c r="H1888" s="2224">
        <f>'Part IX Scoring Criteria'!H240</f>
        <v>4046274304</v>
      </c>
      <c r="I1888" s="2009" t="s">
        <v>1777</v>
      </c>
      <c r="J1888" s="457" t="str">
        <f>'Part IX Scoring Criteria'!J240</f>
        <v>Jim@fcsministries.org</v>
      </c>
      <c r="K1888" s="457">
        <f>'Part IX Scoring Criteria'!K240</f>
        <v>0</v>
      </c>
      <c r="L1888" s="457">
        <f>'Part IX Scoring Criteria'!L240</f>
        <v>0</v>
      </c>
      <c r="M1888" s="457">
        <f>'Part IX Scoring Criteria'!M240</f>
        <v>0</v>
      </c>
      <c r="N1888" s="457">
        <f>'Part IX Scoring Criteria'!N240</f>
        <v>0</v>
      </c>
      <c r="O1888" s="1311"/>
      <c r="P1888" s="1311"/>
      <c r="Q1888" s="1828"/>
      <c r="R1888" s="1785"/>
      <c r="S1888" s="1785"/>
      <c r="T1888" s="1311"/>
      <c r="U1888" s="1311"/>
      <c r="V1888" s="2146"/>
      <c r="W1888" s="2146"/>
      <c r="X1888" s="1311"/>
    </row>
    <row r="1889" spans="1:24">
      <c r="A1889" s="2098"/>
      <c r="C1889" s="2061"/>
      <c r="D1889" s="2061"/>
      <c r="E1889" s="2061"/>
      <c r="F1889" s="2061"/>
      <c r="G1889" s="2061"/>
      <c r="H1889" s="2061"/>
      <c r="I1889" s="2061"/>
      <c r="J1889" s="2061"/>
      <c r="K1889" s="2061"/>
      <c r="L1889" s="2061"/>
      <c r="Q1889" s="1828"/>
      <c r="R1889" s="1785"/>
      <c r="S1889" s="1785"/>
    </row>
    <row r="1890" spans="1:24">
      <c r="A1890" s="2098"/>
      <c r="B1890" s="2215" t="s">
        <v>1960</v>
      </c>
      <c r="C1890" s="2061" t="s">
        <v>3857</v>
      </c>
      <c r="D1890" s="2061"/>
      <c r="E1890" s="2061"/>
      <c r="F1890" s="2061"/>
      <c r="G1890" s="2061"/>
      <c r="H1890" s="2061"/>
      <c r="I1890" s="2061"/>
      <c r="J1890" s="2061"/>
      <c r="K1890" s="2061"/>
      <c r="L1890" s="2061"/>
      <c r="M1890" s="2061"/>
      <c r="N1890" s="2061"/>
      <c r="O1890" s="1314" t="s">
        <v>2477</v>
      </c>
      <c r="P1890" s="1314" t="s">
        <v>2477</v>
      </c>
      <c r="Q1890" s="2061"/>
      <c r="R1890" s="1785"/>
      <c r="S1890" s="1785"/>
    </row>
    <row r="1891" spans="1:24" ht="18.75" customHeight="1">
      <c r="A1891" s="1314"/>
      <c r="B1891" s="2100"/>
      <c r="C1891" s="2031" t="s">
        <v>5098</v>
      </c>
      <c r="D1891" s="2031"/>
      <c r="E1891" s="2031"/>
      <c r="F1891" s="2031"/>
      <c r="G1891" s="2031"/>
      <c r="H1891" s="2031"/>
      <c r="I1891" s="2031"/>
      <c r="J1891" s="2031"/>
      <c r="K1891" s="2031"/>
      <c r="L1891" s="2031"/>
      <c r="M1891" s="2031"/>
      <c r="N1891" s="2137" t="s">
        <v>1960</v>
      </c>
      <c r="O1891" s="2096" t="str">
        <f>'Part IX Scoring Criteria'!O243</f>
        <v>Yes</v>
      </c>
      <c r="P1891" s="2096"/>
      <c r="Q1891" s="2061"/>
      <c r="R1891" s="1785"/>
      <c r="S1891" s="1785"/>
      <c r="T1891" s="1311"/>
      <c r="U1891" s="1311"/>
      <c r="V1891" s="2146"/>
      <c r="W1891" s="2146"/>
      <c r="X1891" s="1311"/>
    </row>
    <row r="1892" spans="1:24" ht="18.75" customHeight="1">
      <c r="A1892" s="2098"/>
      <c r="B1892" s="2098" t="s">
        <v>2403</v>
      </c>
      <c r="C1892" s="457" t="s">
        <v>3859</v>
      </c>
      <c r="D1892" s="457" t="str">
        <f>'Part IX Scoring Criteria'!D244</f>
        <v xml:space="preserve">Purpose Built Schools Atlanta </v>
      </c>
      <c r="E1892" s="457">
        <f>'Part IX Scoring Criteria'!E244</f>
        <v>0</v>
      </c>
      <c r="F1892" s="457">
        <f>'Part IX Scoring Criteria'!F244</f>
        <v>0</v>
      </c>
      <c r="G1892" s="457">
        <f>'Part IX Scoring Criteria'!G244</f>
        <v>0</v>
      </c>
      <c r="H1892" s="457">
        <f>'Part IX Scoring Criteria'!H244</f>
        <v>0</v>
      </c>
      <c r="I1892" s="2009" t="s">
        <v>2666</v>
      </c>
      <c r="J1892" s="457" t="str">
        <f>'Part IX Scoring Criteria'!J244</f>
        <v>https://purposebuiltschoolsatlanta.org/</v>
      </c>
      <c r="K1892" s="457">
        <f>'Part IX Scoring Criteria'!K244</f>
        <v>0</v>
      </c>
      <c r="L1892" s="457">
        <f>'Part IX Scoring Criteria'!L244</f>
        <v>0</v>
      </c>
      <c r="M1892" s="457">
        <f>'Part IX Scoring Criteria'!M244</f>
        <v>0</v>
      </c>
      <c r="N1892" s="457">
        <f>'Part IX Scoring Criteria'!N244</f>
        <v>0</v>
      </c>
      <c r="O1892" s="1925" t="s">
        <v>3861</v>
      </c>
      <c r="P1892" s="1925"/>
      <c r="Q1892" s="2061"/>
      <c r="R1892" s="1785"/>
      <c r="S1892" s="1785"/>
      <c r="T1892" s="1311"/>
      <c r="U1892" s="1311"/>
      <c r="V1892" s="2146"/>
      <c r="W1892" s="2146"/>
      <c r="X1892" s="1311"/>
    </row>
    <row r="1893" spans="1:24" ht="18">
      <c r="A1893" s="2098"/>
      <c r="B1893" s="1311"/>
      <c r="C1893" s="457" t="s">
        <v>2167</v>
      </c>
      <c r="D1893" s="457" t="str">
        <f>'Part IX Scoring Criteria'!D245</f>
        <v xml:space="preserve">Gregory J. Giornelli </v>
      </c>
      <c r="E1893" s="457">
        <f>'Part IX Scoring Criteria'!E245</f>
        <v>0</v>
      </c>
      <c r="F1893" s="457">
        <f>'Part IX Scoring Criteria'!F245</f>
        <v>0</v>
      </c>
      <c r="G1893" s="457" t="s">
        <v>1700</v>
      </c>
      <c r="H1893" s="2224">
        <f>'Part IX Scoring Criteria'!H245</f>
        <v>4042901260</v>
      </c>
      <c r="I1893" s="2009" t="s">
        <v>1777</v>
      </c>
      <c r="J1893" s="457" t="str">
        <f>'Part IX Scoring Criteria'!J245</f>
        <v>ggiornelli@purposebuiltschools.org</v>
      </c>
      <c r="K1893" s="457">
        <f>'Part IX Scoring Criteria'!K245</f>
        <v>0</v>
      </c>
      <c r="L1893" s="457">
        <f>'Part IX Scoring Criteria'!L245</f>
        <v>0</v>
      </c>
      <c r="M1893" s="457">
        <f>'Part IX Scoring Criteria'!M245</f>
        <v>0</v>
      </c>
      <c r="N1893" s="457">
        <f>'Part IX Scoring Criteria'!N245</f>
        <v>0</v>
      </c>
      <c r="O1893" s="1314" t="str">
        <f>'Part IX Scoring Criteria'!O245</f>
        <v>Yes</v>
      </c>
      <c r="P1893" s="1314"/>
      <c r="Q1893" s="2061"/>
      <c r="R1893" s="1785"/>
      <c r="S1893" s="1785"/>
      <c r="T1893" s="1311"/>
      <c r="U1893" s="1311"/>
      <c r="V1893" s="2146"/>
      <c r="W1893" s="2146"/>
      <c r="X1893" s="1311"/>
    </row>
    <row r="1894" spans="1:24" ht="18.75" customHeight="1">
      <c r="A1894" s="2098"/>
      <c r="B1894" s="2098" t="s">
        <v>2404</v>
      </c>
      <c r="C1894" s="457" t="s">
        <v>3860</v>
      </c>
      <c r="D1894" s="457" t="str">
        <f>'Part IX Scoring Criteria'!D246</f>
        <v>South Atlanta Civic League</v>
      </c>
      <c r="E1894" s="457">
        <f>'Part IX Scoring Criteria'!E246</f>
        <v>0</v>
      </c>
      <c r="F1894" s="457">
        <f>'Part IX Scoring Criteria'!F246</f>
        <v>0</v>
      </c>
      <c r="G1894" s="457">
        <f>'Part IX Scoring Criteria'!G246</f>
        <v>0</v>
      </c>
      <c r="H1894" s="457">
        <f>'Part IX Scoring Criteria'!H246</f>
        <v>0</v>
      </c>
      <c r="I1894" s="2009" t="s">
        <v>2666</v>
      </c>
      <c r="J1894" s="457" t="str">
        <f>'Part IX Scoring Criteria'!J246</f>
        <v>http://southatlantacivicleague.com/</v>
      </c>
      <c r="K1894" s="457">
        <f>'Part IX Scoring Criteria'!K246</f>
        <v>0</v>
      </c>
      <c r="L1894" s="457">
        <f>'Part IX Scoring Criteria'!L246</f>
        <v>0</v>
      </c>
      <c r="M1894" s="457">
        <f>'Part IX Scoring Criteria'!M246</f>
        <v>0</v>
      </c>
      <c r="N1894" s="457">
        <f>'Part IX Scoring Criteria'!N246</f>
        <v>0</v>
      </c>
      <c r="O1894" s="1925" t="s">
        <v>3861</v>
      </c>
      <c r="P1894" s="1925"/>
      <c r="Q1894" s="2061"/>
      <c r="R1894" s="1785"/>
      <c r="S1894" s="1785"/>
      <c r="T1894" s="1311"/>
      <c r="U1894" s="1311"/>
      <c r="V1894" s="2146"/>
      <c r="W1894" s="2146"/>
      <c r="X1894" s="1311"/>
    </row>
    <row r="1895" spans="1:24" ht="18">
      <c r="A1895" s="2098"/>
      <c r="B1895" s="1311"/>
      <c r="C1895" s="457" t="s">
        <v>2167</v>
      </c>
      <c r="D1895" s="457" t="str">
        <f>'Part IX Scoring Criteria'!D247</f>
        <v>Kimberlee Jones</v>
      </c>
      <c r="E1895" s="457">
        <f>'Part IX Scoring Criteria'!E247</f>
        <v>0</v>
      </c>
      <c r="F1895" s="457">
        <f>'Part IX Scoring Criteria'!F247</f>
        <v>0</v>
      </c>
      <c r="G1895" s="457" t="s">
        <v>1700</v>
      </c>
      <c r="H1895" s="2224">
        <f>'Part IX Scoring Criteria'!H247</f>
        <v>4049552909</v>
      </c>
      <c r="I1895" s="2009" t="s">
        <v>1777</v>
      </c>
      <c r="J1895" s="457" t="str">
        <f>'Part IX Scoring Criteria'!J247</f>
        <v>kpaytonjones@gmail.com</v>
      </c>
      <c r="K1895" s="457">
        <f>'Part IX Scoring Criteria'!K247</f>
        <v>0</v>
      </c>
      <c r="L1895" s="457">
        <f>'Part IX Scoring Criteria'!L247</f>
        <v>0</v>
      </c>
      <c r="M1895" s="457">
        <f>'Part IX Scoring Criteria'!M247</f>
        <v>0</v>
      </c>
      <c r="N1895" s="457">
        <f>'Part IX Scoring Criteria'!N247</f>
        <v>0</v>
      </c>
      <c r="O1895" s="1314" t="str">
        <f>'Part IX Scoring Criteria'!O247</f>
        <v>Yes</v>
      </c>
      <c r="P1895" s="1314"/>
      <c r="Q1895" s="2061"/>
      <c r="R1895" s="1785"/>
      <c r="S1895" s="1785"/>
      <c r="T1895" s="1311"/>
      <c r="U1895" s="1311"/>
      <c r="V1895" s="2146"/>
      <c r="W1895" s="2146"/>
      <c r="X1895" s="1311"/>
    </row>
    <row r="1896" spans="1:24">
      <c r="A1896" s="2098"/>
      <c r="B1896" s="2215" t="s">
        <v>1962</v>
      </c>
      <c r="C1896" s="2061" t="s">
        <v>3862</v>
      </c>
      <c r="D1896" s="2061"/>
      <c r="E1896" s="2061"/>
      <c r="F1896" s="2061"/>
      <c r="G1896" s="2110" t="s">
        <v>3671</v>
      </c>
      <c r="H1896" s="2061"/>
      <c r="I1896" s="2061"/>
      <c r="J1896" s="2061"/>
      <c r="K1896" s="2061"/>
      <c r="L1896" s="2061"/>
      <c r="M1896" s="2061"/>
      <c r="N1896" s="2061"/>
      <c r="O1896" s="1314" t="s">
        <v>2477</v>
      </c>
      <c r="P1896" s="1314" t="s">
        <v>2477</v>
      </c>
      <c r="Q1896" s="2061"/>
      <c r="R1896" s="1785"/>
      <c r="S1896" s="1785"/>
    </row>
    <row r="1897" spans="1:24" ht="18.75" customHeight="1">
      <c r="A1897" s="2098"/>
      <c r="B1897" s="2225"/>
      <c r="C1897" s="2064" t="s">
        <v>5099</v>
      </c>
      <c r="D1897" s="2064"/>
      <c r="E1897" s="2064"/>
      <c r="F1897" s="2064"/>
      <c r="G1897" s="2064"/>
      <c r="H1897" s="2064"/>
      <c r="I1897" s="2064"/>
      <c r="J1897" s="2064"/>
      <c r="K1897" s="2064"/>
      <c r="L1897" s="2064"/>
      <c r="M1897" s="2064"/>
      <c r="N1897" s="2137" t="s">
        <v>1962</v>
      </c>
      <c r="O1897" s="2096" t="str">
        <f>'Part IX Scoring Criteria'!O249</f>
        <v>Yes</v>
      </c>
      <c r="P1897" s="2096"/>
      <c r="Q1897" s="1949"/>
      <c r="R1897" s="1785"/>
      <c r="S1897" s="1785"/>
      <c r="V1897" s="2146"/>
      <c r="W1897" s="2146"/>
    </row>
    <row r="1898" spans="1:24" ht="18">
      <c r="A1898" s="2098"/>
      <c r="B1898" s="2098" t="s">
        <v>2403</v>
      </c>
      <c r="C1898" s="2100" t="s">
        <v>3944</v>
      </c>
      <c r="D1898" s="2068"/>
      <c r="E1898" s="2068"/>
      <c r="F1898" s="2068"/>
      <c r="G1898" s="2068"/>
      <c r="H1898" s="2068"/>
      <c r="I1898" s="2068"/>
      <c r="J1898" s="2068"/>
      <c r="K1898" s="2068"/>
      <c r="L1898" s="2068"/>
      <c r="M1898" s="2068"/>
      <c r="N1898" s="2068"/>
      <c r="O1898" s="2068"/>
      <c r="P1898" s="2068"/>
      <c r="Q1898" s="1949"/>
      <c r="R1898" s="1785"/>
      <c r="S1898" s="1785"/>
      <c r="V1898" s="2146"/>
      <c r="W1898" s="2146"/>
    </row>
    <row r="1899" spans="1:24" ht="30.6">
      <c r="A1899" s="2098"/>
      <c r="B1899" s="1311"/>
      <c r="C1899" s="1852" t="str">
        <f>'Part IX Scoring Criteria'!C251</f>
        <v>1.) Lupton Center - Education &amp; Training (2017)</v>
      </c>
      <c r="D1899" s="1852">
        <f>'Part IX Scoring Criteria'!D251</f>
        <v>0</v>
      </c>
      <c r="E1899" s="1852">
        <f>'Part IX Scoring Criteria'!E251</f>
        <v>0</v>
      </c>
      <c r="F1899" s="1852">
        <f>'Part IX Scoring Criteria'!F251</f>
        <v>0</v>
      </c>
      <c r="G1899" s="1852">
        <f>'Part IX Scoring Criteria'!G251</f>
        <v>0</v>
      </c>
      <c r="H1899" s="1852">
        <f>'Part IX Scoring Criteria'!H251</f>
        <v>0</v>
      </c>
      <c r="I1899" s="1852">
        <f>'Part IX Scoring Criteria'!I251</f>
        <v>0</v>
      </c>
      <c r="J1899" s="1852">
        <f>'Part IX Scoring Criteria'!J251</f>
        <v>0</v>
      </c>
      <c r="K1899" s="1852">
        <f>'Part IX Scoring Criteria'!K251</f>
        <v>0</v>
      </c>
      <c r="L1899" s="1852">
        <f>'Part IX Scoring Criteria'!L251</f>
        <v>0</v>
      </c>
      <c r="M1899" s="1852">
        <f>'Part IX Scoring Criteria'!M251</f>
        <v>0</v>
      </c>
      <c r="N1899" s="1852">
        <f>'Part IX Scoring Criteria'!N251</f>
        <v>0</v>
      </c>
      <c r="O1899" s="1852">
        <f>'Part IX Scoring Criteria'!O251</f>
        <v>0</v>
      </c>
      <c r="P1899" s="1852">
        <f>'Part IX Scoring Criteria'!P251</f>
        <v>0</v>
      </c>
      <c r="Q1899" s="2065"/>
      <c r="R1899" s="1785"/>
      <c r="S1899" s="1785"/>
      <c r="V1899" s="2146"/>
      <c r="W1899" s="2146"/>
    </row>
    <row r="1900" spans="1:24" ht="71.400000000000006">
      <c r="A1900" s="2098"/>
      <c r="B1900" s="2225"/>
      <c r="C1900" s="1852" t="str">
        <f>'Part IX Scoring Criteria'!C252</f>
        <v>2.) Carver Market/Community Grounds/S. Atlanta Bike Shop - Provide Jobs &amp; Spur local economy (2017)</v>
      </c>
      <c r="D1900" s="1852">
        <f>'Part IX Scoring Criteria'!D252</f>
        <v>0</v>
      </c>
      <c r="E1900" s="1852">
        <f>'Part IX Scoring Criteria'!E252</f>
        <v>0</v>
      </c>
      <c r="F1900" s="1852">
        <f>'Part IX Scoring Criteria'!F252</f>
        <v>0</v>
      </c>
      <c r="G1900" s="1852">
        <f>'Part IX Scoring Criteria'!G252</f>
        <v>0</v>
      </c>
      <c r="H1900" s="1852">
        <f>'Part IX Scoring Criteria'!H252</f>
        <v>0</v>
      </c>
      <c r="I1900" s="1852">
        <f>'Part IX Scoring Criteria'!I252</f>
        <v>0</v>
      </c>
      <c r="J1900" s="1852">
        <f>'Part IX Scoring Criteria'!J252</f>
        <v>0</v>
      </c>
      <c r="K1900" s="1852">
        <f>'Part IX Scoring Criteria'!K252</f>
        <v>0</v>
      </c>
      <c r="L1900" s="1852">
        <f>'Part IX Scoring Criteria'!L252</f>
        <v>0</v>
      </c>
      <c r="M1900" s="1852">
        <f>'Part IX Scoring Criteria'!M252</f>
        <v>0</v>
      </c>
      <c r="N1900" s="1852">
        <f>'Part IX Scoring Criteria'!N252</f>
        <v>0</v>
      </c>
      <c r="O1900" s="1852">
        <f>'Part IX Scoring Criteria'!O252</f>
        <v>0</v>
      </c>
      <c r="P1900" s="1852">
        <f>'Part IX Scoring Criteria'!P252</f>
        <v>0</v>
      </c>
      <c r="Q1900" s="1949"/>
      <c r="R1900" s="1785"/>
      <c r="S1900" s="1785"/>
      <c r="V1900" s="2146"/>
      <c r="W1900" s="2146"/>
    </row>
    <row r="1901" spans="1:24" ht="71.400000000000006">
      <c r="A1901" s="2098"/>
      <c r="B1901" s="2225"/>
      <c r="C1901" s="1852" t="str">
        <f>'Part IX Scoring Criteria'!C253</f>
        <v>3.) Carver Market/Community Grounds/S. Atlanta Bike Shop - Provide Jobs &amp; Spur local economy (2016)</v>
      </c>
      <c r="D1901" s="1852">
        <f>'Part IX Scoring Criteria'!D253</f>
        <v>0</v>
      </c>
      <c r="E1901" s="1852">
        <f>'Part IX Scoring Criteria'!E253</f>
        <v>0</v>
      </c>
      <c r="F1901" s="1852">
        <f>'Part IX Scoring Criteria'!F253</f>
        <v>0</v>
      </c>
      <c r="G1901" s="1852">
        <f>'Part IX Scoring Criteria'!G253</f>
        <v>0</v>
      </c>
      <c r="H1901" s="1852">
        <f>'Part IX Scoring Criteria'!H253</f>
        <v>0</v>
      </c>
      <c r="I1901" s="1852">
        <f>'Part IX Scoring Criteria'!I253</f>
        <v>0</v>
      </c>
      <c r="J1901" s="1852">
        <f>'Part IX Scoring Criteria'!J253</f>
        <v>0</v>
      </c>
      <c r="K1901" s="1852">
        <f>'Part IX Scoring Criteria'!K253</f>
        <v>0</v>
      </c>
      <c r="L1901" s="1852">
        <f>'Part IX Scoring Criteria'!L253</f>
        <v>0</v>
      </c>
      <c r="M1901" s="1852">
        <f>'Part IX Scoring Criteria'!M253</f>
        <v>0</v>
      </c>
      <c r="N1901" s="1852">
        <f>'Part IX Scoring Criteria'!N253</f>
        <v>0</v>
      </c>
      <c r="O1901" s="1852">
        <f>'Part IX Scoring Criteria'!O253</f>
        <v>0</v>
      </c>
      <c r="P1901" s="1852">
        <f>'Part IX Scoring Criteria'!P253</f>
        <v>0</v>
      </c>
      <c r="Q1901" s="1949"/>
      <c r="R1901" s="1785"/>
      <c r="S1901" s="1785"/>
      <c r="V1901" s="2146"/>
      <c r="W1901" s="2146"/>
    </row>
    <row r="1902" spans="1:24" ht="18.75" customHeight="1">
      <c r="A1902" s="2098"/>
      <c r="B1902" s="2098" t="s">
        <v>2404</v>
      </c>
      <c r="C1902" s="2100" t="s">
        <v>3942</v>
      </c>
      <c r="D1902" s="2068"/>
      <c r="E1902" s="2068"/>
      <c r="F1902" s="2068"/>
      <c r="G1902" s="2068"/>
      <c r="H1902" s="2068"/>
      <c r="I1902" s="2068"/>
      <c r="J1902" s="2068"/>
      <c r="K1902" s="2068"/>
      <c r="L1902" s="2064" t="s">
        <v>3945</v>
      </c>
      <c r="M1902" s="2064"/>
      <c r="N1902" s="2061" t="s">
        <v>3946</v>
      </c>
      <c r="O1902" s="2061"/>
      <c r="P1902" s="2061"/>
      <c r="Q1902" s="1949"/>
      <c r="R1902" s="1785"/>
      <c r="S1902" s="1785"/>
      <c r="V1902" s="2146"/>
      <c r="W1902" s="2146"/>
    </row>
    <row r="1903" spans="1:24" ht="18">
      <c r="A1903" s="2098"/>
      <c r="B1903" s="2225"/>
      <c r="C1903" s="2064" t="str">
        <f>'Part IX Scoring Criteria'!C255</f>
        <v>1.)</v>
      </c>
      <c r="D1903" s="2064">
        <f>'Part IX Scoring Criteria'!D255</f>
        <v>0</v>
      </c>
      <c r="E1903" s="2064">
        <f>'Part IX Scoring Criteria'!E255</f>
        <v>0</v>
      </c>
      <c r="F1903" s="2064">
        <f>'Part IX Scoring Criteria'!F255</f>
        <v>0</v>
      </c>
      <c r="G1903" s="2064">
        <f>'Part IX Scoring Criteria'!G255</f>
        <v>0</v>
      </c>
      <c r="H1903" s="2064">
        <f>'Part IX Scoring Criteria'!H255</f>
        <v>0</v>
      </c>
      <c r="I1903" s="2064">
        <f>'Part IX Scoring Criteria'!I255</f>
        <v>0</v>
      </c>
      <c r="J1903" s="2064">
        <f>'Part IX Scoring Criteria'!J255</f>
        <v>0</v>
      </c>
      <c r="K1903" s="2064">
        <f>'Part IX Scoring Criteria'!K255</f>
        <v>0</v>
      </c>
      <c r="L1903" s="2064">
        <f>'Part IX Scoring Criteria'!L255</f>
        <v>0</v>
      </c>
      <c r="M1903" s="2064">
        <f>'Part IX Scoring Criteria'!M255</f>
        <v>0</v>
      </c>
      <c r="N1903" s="2064">
        <f>'Part IX Scoring Criteria'!N255</f>
        <v>0</v>
      </c>
      <c r="O1903" s="2064">
        <f>'Part IX Scoring Criteria'!O255</f>
        <v>0</v>
      </c>
      <c r="P1903" s="2064">
        <f>'Part IX Scoring Criteria'!P255</f>
        <v>0</v>
      </c>
      <c r="Q1903" s="2065"/>
      <c r="R1903" s="1785"/>
      <c r="S1903" s="1785"/>
      <c r="V1903" s="2146"/>
      <c r="W1903" s="2146"/>
    </row>
    <row r="1904" spans="1:24" ht="18">
      <c r="A1904" s="2098"/>
      <c r="B1904" s="2225"/>
      <c r="C1904" s="2064" t="str">
        <f>'Part IX Scoring Criteria'!C256</f>
        <v>2.)</v>
      </c>
      <c r="D1904" s="2064">
        <f>'Part IX Scoring Criteria'!D256</f>
        <v>0</v>
      </c>
      <c r="E1904" s="2064">
        <f>'Part IX Scoring Criteria'!E256</f>
        <v>0</v>
      </c>
      <c r="F1904" s="2064">
        <f>'Part IX Scoring Criteria'!F256</f>
        <v>0</v>
      </c>
      <c r="G1904" s="2064">
        <f>'Part IX Scoring Criteria'!G256</f>
        <v>0</v>
      </c>
      <c r="H1904" s="2064">
        <f>'Part IX Scoring Criteria'!H256</f>
        <v>0</v>
      </c>
      <c r="I1904" s="2064">
        <f>'Part IX Scoring Criteria'!I256</f>
        <v>0</v>
      </c>
      <c r="J1904" s="2064">
        <f>'Part IX Scoring Criteria'!J256</f>
        <v>0</v>
      </c>
      <c r="K1904" s="2064">
        <f>'Part IX Scoring Criteria'!K256</f>
        <v>0</v>
      </c>
      <c r="L1904" s="2064">
        <f>'Part IX Scoring Criteria'!L256</f>
        <v>0</v>
      </c>
      <c r="M1904" s="2064">
        <f>'Part IX Scoring Criteria'!M256</f>
        <v>0</v>
      </c>
      <c r="N1904" s="2064">
        <f>'Part IX Scoring Criteria'!N256</f>
        <v>0</v>
      </c>
      <c r="O1904" s="2064">
        <f>'Part IX Scoring Criteria'!O256</f>
        <v>0</v>
      </c>
      <c r="P1904" s="2064">
        <f>'Part IX Scoring Criteria'!P256</f>
        <v>0</v>
      </c>
      <c r="Q1904" s="1949"/>
      <c r="R1904" s="1785"/>
      <c r="S1904" s="1785"/>
      <c r="V1904" s="2146"/>
      <c r="W1904" s="2146"/>
    </row>
    <row r="1905" spans="1:24" ht="18">
      <c r="A1905" s="2098"/>
      <c r="B1905" s="2225"/>
      <c r="C1905" s="2064" t="str">
        <f>'Part IX Scoring Criteria'!C257</f>
        <v>3.)</v>
      </c>
      <c r="D1905" s="2064">
        <f>'Part IX Scoring Criteria'!D257</f>
        <v>0</v>
      </c>
      <c r="E1905" s="2064">
        <f>'Part IX Scoring Criteria'!E257</f>
        <v>0</v>
      </c>
      <c r="F1905" s="2064">
        <f>'Part IX Scoring Criteria'!F257</f>
        <v>0</v>
      </c>
      <c r="G1905" s="2064">
        <f>'Part IX Scoring Criteria'!G257</f>
        <v>0</v>
      </c>
      <c r="H1905" s="2064">
        <f>'Part IX Scoring Criteria'!H257</f>
        <v>0</v>
      </c>
      <c r="I1905" s="2064">
        <f>'Part IX Scoring Criteria'!I257</f>
        <v>0</v>
      </c>
      <c r="J1905" s="2064">
        <f>'Part IX Scoring Criteria'!J257</f>
        <v>0</v>
      </c>
      <c r="K1905" s="2064">
        <f>'Part IX Scoring Criteria'!K257</f>
        <v>0</v>
      </c>
      <c r="L1905" s="2064">
        <f>'Part IX Scoring Criteria'!L257</f>
        <v>0</v>
      </c>
      <c r="M1905" s="2064">
        <f>'Part IX Scoring Criteria'!M257</f>
        <v>0</v>
      </c>
      <c r="N1905" s="2064">
        <f>'Part IX Scoring Criteria'!N257</f>
        <v>0</v>
      </c>
      <c r="O1905" s="2064">
        <f>'Part IX Scoring Criteria'!O257</f>
        <v>0</v>
      </c>
      <c r="P1905" s="2064">
        <f>'Part IX Scoring Criteria'!P257</f>
        <v>0</v>
      </c>
      <c r="Q1905" s="1949"/>
      <c r="R1905" s="1785"/>
      <c r="S1905" s="1785"/>
      <c r="V1905" s="2146"/>
      <c r="W1905" s="2146"/>
    </row>
    <row r="1906" spans="1:24">
      <c r="A1906" s="2098"/>
      <c r="B1906" s="2215" t="s">
        <v>2501</v>
      </c>
      <c r="C1906" s="2061" t="s">
        <v>3863</v>
      </c>
      <c r="D1906" s="2061"/>
      <c r="E1906" s="2061"/>
      <c r="F1906" s="2061"/>
      <c r="G1906" s="2061"/>
      <c r="H1906" s="2061"/>
      <c r="I1906" s="2061"/>
      <c r="J1906" s="2061"/>
      <c r="K1906" s="2061"/>
      <c r="L1906" s="2061"/>
      <c r="M1906" s="2061"/>
      <c r="N1906" s="2061"/>
      <c r="O1906" s="1314"/>
      <c r="P1906" s="1314"/>
      <c r="Q1906" s="2061"/>
      <c r="R1906" s="1785"/>
      <c r="S1906" s="1785"/>
    </row>
    <row r="1907" spans="1:24" ht="18.75" customHeight="1">
      <c r="A1907" s="2098"/>
      <c r="B1907" s="2211"/>
      <c r="C1907" s="2031" t="s">
        <v>3866</v>
      </c>
      <c r="D1907" s="2031"/>
      <c r="E1907" s="2031"/>
      <c r="F1907" s="2031"/>
      <c r="G1907" s="2031"/>
      <c r="H1907" s="2031"/>
      <c r="I1907" s="2031"/>
      <c r="J1907" s="2031"/>
      <c r="K1907" s="2031"/>
      <c r="L1907" s="2031"/>
      <c r="M1907" s="2031"/>
      <c r="N1907" s="2137" t="s">
        <v>2501</v>
      </c>
      <c r="O1907" s="1314" t="str">
        <f>'Part IX Scoring Criteria'!O259</f>
        <v>Yes</v>
      </c>
      <c r="P1907" s="1314"/>
      <c r="Q1907" s="1949"/>
      <c r="R1907" s="1311"/>
      <c r="S1907" s="1311"/>
      <c r="T1907" s="1311"/>
      <c r="U1907" s="1311"/>
      <c r="V1907" s="2146"/>
      <c r="W1907" s="2146"/>
      <c r="X1907" s="1311"/>
    </row>
    <row r="1908" spans="1:24">
      <c r="A1908" s="1981"/>
      <c r="B1908" s="2195" t="s">
        <v>1209</v>
      </c>
      <c r="C1908" s="457" t="s">
        <v>3674</v>
      </c>
      <c r="D1908" s="1311"/>
      <c r="Q1908" s="1955"/>
    </row>
    <row r="1909" spans="1:24" ht="18.75" customHeight="1">
      <c r="A1909" s="2098"/>
      <c r="B1909" s="2211"/>
      <c r="C1909" s="2064" t="s">
        <v>3868</v>
      </c>
      <c r="D1909" s="2064"/>
      <c r="E1909" s="2064"/>
      <c r="F1909" s="2064"/>
      <c r="G1909" s="2064"/>
      <c r="H1909" s="2064"/>
      <c r="I1909" s="2064"/>
      <c r="J1909" s="2064"/>
      <c r="K1909" s="2064"/>
      <c r="L1909" s="2064"/>
      <c r="M1909" s="2064"/>
      <c r="N1909" s="2137" t="s">
        <v>1209</v>
      </c>
      <c r="O1909" s="2096" t="str">
        <f>'Part IX Scoring Criteria'!O261</f>
        <v>Yes</v>
      </c>
      <c r="P1909" s="2096"/>
      <c r="Q1909" s="1949"/>
      <c r="R1909" s="1311"/>
      <c r="S1909" s="1311"/>
      <c r="T1909" s="1311"/>
      <c r="U1909" s="1311"/>
      <c r="V1909" s="2146"/>
      <c r="W1909" s="2146"/>
      <c r="X1909" s="1311"/>
    </row>
    <row r="1910" spans="1:24" ht="18">
      <c r="A1910" s="2098"/>
      <c r="B1910" s="2211"/>
      <c r="C1910" s="2068"/>
      <c r="D1910" s="2068"/>
      <c r="E1910" s="2068"/>
      <c r="F1910" s="2068"/>
      <c r="G1910" s="2100" t="s">
        <v>4615</v>
      </c>
      <c r="H1910" s="2068"/>
      <c r="I1910" s="1311"/>
      <c r="J1910" s="2206">
        <f>'Part IX Scoring Criteria'!J262</f>
        <v>15000</v>
      </c>
      <c r="K1910" s="2206">
        <f>'Part IX Scoring Criteria'!K262</f>
        <v>0</v>
      </c>
      <c r="L1910" s="2068"/>
      <c r="M1910" s="2068"/>
      <c r="N1910" s="2068"/>
      <c r="O1910" s="2068"/>
      <c r="P1910" s="2068"/>
      <c r="Q1910" s="1949"/>
      <c r="R1910" s="1311"/>
      <c r="S1910" s="1311"/>
      <c r="T1910" s="1311"/>
      <c r="U1910" s="1311"/>
      <c r="V1910" s="2146"/>
      <c r="W1910" s="2146"/>
      <c r="X1910" s="1311"/>
    </row>
    <row r="1911" spans="1:24" ht="18.75" customHeight="1">
      <c r="A1911" s="2098"/>
      <c r="B1911" s="2098" t="s">
        <v>2403</v>
      </c>
      <c r="C1911" s="2031" t="s">
        <v>3869</v>
      </c>
      <c r="D1911" s="2031"/>
      <c r="E1911" s="2031"/>
      <c r="F1911" s="2031"/>
      <c r="G1911" s="2031"/>
      <c r="H1911" s="2031"/>
      <c r="I1911" s="2031"/>
      <c r="J1911" s="2031"/>
      <c r="K1911" s="2031"/>
      <c r="L1911" s="2031"/>
      <c r="M1911" s="2031"/>
      <c r="N1911" s="2098" t="s">
        <v>2403</v>
      </c>
      <c r="O1911" s="1314" t="str">
        <f>'Part IX Scoring Criteria'!O263</f>
        <v>Yes</v>
      </c>
      <c r="P1911" s="1314"/>
      <c r="Q1911" s="1949"/>
      <c r="R1911" s="1311"/>
      <c r="S1911" s="1311"/>
      <c r="T1911" s="1311"/>
      <c r="U1911" s="1311"/>
      <c r="V1911" s="2146"/>
      <c r="W1911" s="2146"/>
      <c r="X1911" s="1311"/>
    </row>
    <row r="1912" spans="1:24" ht="18.75" customHeight="1">
      <c r="A1912" s="2098"/>
      <c r="B1912" s="2098" t="s">
        <v>2404</v>
      </c>
      <c r="C1912" s="2031" t="s">
        <v>4515</v>
      </c>
      <c r="D1912" s="2031"/>
      <c r="E1912" s="2031"/>
      <c r="F1912" s="2031"/>
      <c r="G1912" s="2031"/>
      <c r="H1912" s="2031"/>
      <c r="I1912" s="2031"/>
      <c r="J1912" s="2031"/>
      <c r="K1912" s="2031"/>
      <c r="L1912" s="2031"/>
      <c r="M1912" s="2031"/>
      <c r="N1912" s="2098" t="s">
        <v>2404</v>
      </c>
      <c r="O1912" s="1314" t="str">
        <f>'Part IX Scoring Criteria'!O264</f>
        <v>Yes</v>
      </c>
      <c r="P1912" s="1314"/>
      <c r="Q1912" s="1949"/>
      <c r="R1912" s="1311"/>
      <c r="S1912" s="1311"/>
      <c r="T1912" s="1311"/>
      <c r="U1912" s="1311"/>
      <c r="V1912" s="2146"/>
      <c r="W1912" s="2146"/>
      <c r="X1912" s="1311"/>
    </row>
    <row r="1913" spans="1:24">
      <c r="A1913" s="1981"/>
      <c r="B1913" s="2195" t="s">
        <v>1210</v>
      </c>
      <c r="C1913" s="457" t="s">
        <v>4516</v>
      </c>
      <c r="D1913" s="1311"/>
      <c r="N1913" s="2137" t="s">
        <v>1210</v>
      </c>
      <c r="Q1913" s="1955"/>
    </row>
    <row r="1914" spans="1:24" ht="18.75" customHeight="1">
      <c r="A1914" s="2098"/>
      <c r="B1914" s="2098" t="s">
        <v>2403</v>
      </c>
      <c r="C1914" s="2031" t="s">
        <v>4517</v>
      </c>
      <c r="D1914" s="2031"/>
      <c r="E1914" s="2031"/>
      <c r="F1914" s="2031"/>
      <c r="G1914" s="2031"/>
      <c r="H1914" s="2031"/>
      <c r="I1914" s="2031"/>
      <c r="J1914" s="2031"/>
      <c r="K1914" s="2031"/>
      <c r="L1914" s="2031"/>
      <c r="M1914" s="2031"/>
      <c r="N1914" s="2098" t="s">
        <v>2403</v>
      </c>
      <c r="O1914" s="1314" t="str">
        <f>'Part IX Scoring Criteria'!O266</f>
        <v>No</v>
      </c>
      <c r="P1914" s="1314"/>
      <c r="Q1914" s="1949"/>
      <c r="R1914" s="1311"/>
      <c r="S1914" s="1311"/>
      <c r="T1914" s="1311"/>
      <c r="U1914" s="1311"/>
      <c r="V1914" s="2146"/>
      <c r="W1914" s="2146"/>
      <c r="X1914" s="1311"/>
    </row>
    <row r="1915" spans="1:24" ht="18.75" customHeight="1">
      <c r="A1915" s="2098"/>
      <c r="B1915" s="2098" t="s">
        <v>2404</v>
      </c>
      <c r="C1915" s="2031" t="s">
        <v>4518</v>
      </c>
      <c r="D1915" s="2031"/>
      <c r="E1915" s="2031"/>
      <c r="F1915" s="2031"/>
      <c r="G1915" s="2031"/>
      <c r="H1915" s="2031"/>
      <c r="I1915" s="2031"/>
      <c r="J1915" s="2031"/>
      <c r="K1915" s="2031"/>
      <c r="L1915" s="2031"/>
      <c r="M1915" s="2031"/>
      <c r="N1915" s="2098" t="s">
        <v>2404</v>
      </c>
      <c r="O1915" s="1314" t="str">
        <f>'Part IX Scoring Criteria'!O267</f>
        <v>N/a</v>
      </c>
      <c r="P1915" s="1314"/>
      <c r="Q1915" s="1949"/>
      <c r="R1915" s="1311"/>
      <c r="S1915" s="1311"/>
      <c r="T1915" s="1311"/>
      <c r="U1915" s="1311"/>
      <c r="V1915" s="2146"/>
      <c r="W1915" s="2146"/>
      <c r="X1915" s="1311"/>
    </row>
    <row r="1916" spans="1:24">
      <c r="A1916" s="1981" t="s">
        <v>1959</v>
      </c>
      <c r="B1916" s="1957" t="s">
        <v>4792</v>
      </c>
      <c r="D1916" s="1311"/>
      <c r="G1916" s="2110" t="s">
        <v>3671</v>
      </c>
      <c r="O1916" s="1314" t="s">
        <v>2477</v>
      </c>
      <c r="P1916" s="1314" t="s">
        <v>2477</v>
      </c>
      <c r="Q1916" s="1828"/>
    </row>
    <row r="1917" spans="1:24" ht="18.75" customHeight="1">
      <c r="B1917" s="2215" t="s">
        <v>1960</v>
      </c>
      <c r="C1917" s="2031" t="s">
        <v>3865</v>
      </c>
      <c r="D1917" s="2031"/>
      <c r="E1917" s="2031"/>
      <c r="F1917" s="2031"/>
      <c r="G1917" s="2031"/>
      <c r="H1917" s="2031"/>
      <c r="I1917" s="2031"/>
      <c r="J1917" s="2031"/>
      <c r="K1917" s="2031"/>
      <c r="L1917" s="2031"/>
      <c r="M1917" s="2101" t="s">
        <v>1959</v>
      </c>
      <c r="N1917" s="2137" t="s">
        <v>1960</v>
      </c>
      <c r="O1917" s="2096" t="str">
        <f>'Part IX Scoring Criteria'!O269</f>
        <v>Yes</v>
      </c>
      <c r="P1917" s="2096"/>
      <c r="Q1917" s="1828"/>
      <c r="V1917" s="2146"/>
      <c r="W1917" s="2146"/>
    </row>
    <row r="1918" spans="1:24" ht="18">
      <c r="A1918" s="2098"/>
      <c r="B1918" s="2215" t="s">
        <v>1962</v>
      </c>
      <c r="C1918" s="2009" t="s">
        <v>4519</v>
      </c>
      <c r="D1918" s="2031"/>
      <c r="E1918" s="2031"/>
      <c r="F1918" s="2031"/>
      <c r="G1918" s="2031"/>
      <c r="H1918" s="2031"/>
      <c r="I1918" s="2031"/>
      <c r="J1918" s="2031"/>
      <c r="K1918" s="2031"/>
      <c r="L1918" s="2031"/>
      <c r="M1918" s="2031"/>
      <c r="N1918" s="2137" t="s">
        <v>1962</v>
      </c>
      <c r="O1918" s="1314" t="str">
        <f>'Part IX Scoring Criteria'!O270</f>
        <v>Yes</v>
      </c>
      <c r="P1918" s="1314"/>
      <c r="Q1918" s="1949"/>
      <c r="R1918" s="1311"/>
      <c r="S1918" s="1311"/>
      <c r="T1918" s="1311"/>
      <c r="U1918" s="1311"/>
      <c r="V1918" s="2226"/>
      <c r="W1918" s="2226"/>
      <c r="X1918" s="1311"/>
    </row>
    <row r="1919" spans="1:24" ht="18">
      <c r="A1919" s="2098"/>
      <c r="B1919" s="2215" t="s">
        <v>2501</v>
      </c>
      <c r="C1919" s="2009" t="s">
        <v>4520</v>
      </c>
      <c r="D1919" s="2031"/>
      <c r="E1919" s="2031"/>
      <c r="F1919" s="2031"/>
      <c r="G1919" s="2031"/>
      <c r="H1919" s="2031"/>
      <c r="I1919" s="2031"/>
      <c r="J1919" s="2031"/>
      <c r="K1919" s="2031"/>
      <c r="L1919" s="2031"/>
      <c r="M1919" s="2031"/>
      <c r="N1919" s="2137" t="s">
        <v>2501</v>
      </c>
      <c r="O1919" s="1314" t="str">
        <f>'Part IX Scoring Criteria'!O271</f>
        <v>N/a</v>
      </c>
      <c r="P1919" s="1314"/>
      <c r="Q1919" s="1949"/>
      <c r="R1919" s="1311"/>
      <c r="S1919" s="1311"/>
      <c r="T1919" s="1311"/>
      <c r="U1919" s="1311"/>
      <c r="V1919" s="2226"/>
      <c r="W1919" s="2226"/>
      <c r="X1919" s="1311"/>
    </row>
    <row r="1920" spans="1:24" ht="14.4">
      <c r="A1920" s="1311"/>
      <c r="B1920" s="1997" t="s">
        <v>3645</v>
      </c>
      <c r="C1920" s="1311"/>
      <c r="D1920" s="1957"/>
      <c r="E1920" s="1957"/>
      <c r="F1920" s="1957"/>
      <c r="G1920" s="1957"/>
      <c r="H1920" s="457"/>
      <c r="I1920" s="457"/>
      <c r="J1920" s="1315"/>
      <c r="K1920" s="1315"/>
      <c r="L1920" s="1315"/>
      <c r="M1920" s="1955"/>
      <c r="N1920" s="1953"/>
      <c r="O1920" s="2028"/>
      <c r="P1920" s="1953"/>
      <c r="Q1920" s="1315"/>
      <c r="R1920" s="1315"/>
      <c r="S1920" s="1315"/>
      <c r="T1920" s="1315"/>
      <c r="U1920" s="1315"/>
      <c r="V1920" s="1315"/>
      <c r="W1920" s="1315"/>
      <c r="X1920" s="1315"/>
    </row>
    <row r="1921" spans="1:24" ht="409.6">
      <c r="A1921" s="1852" t="str">
        <f>'Part IX Scoring Criteria'!A273</f>
        <v>In 2000, the South Atlanta Civic League (SACL) heard about Focused Community Strategies (FCS), a nonprofit organization that had been working to facilitate revitalization efforts in the nearby communities of Grant Park, Summerhill, Ormewood Park, and East Lake.   SACL remembered what South Atlanta had been, and they invited FCS to dream with them about neighbors returning to South Atlanta to create an economically diverse neighborhood. Discussions centered on the liquor store, which was representative of many blighted commercial spaces, at the intersection of McDonough Boulevard and Jonesboro Road; it was the one of the few remaining businesses in the neighborhood, and it had become a hotbed of criminal activity. With neighborhood support, FCS purchased the liquor store, transformed it into a coffee shop and thrift store, and began building on this new community asset to generate momentum for positive change.  For 18 years and counting, FCS has been partnering with the residents of South Atlanta to create a flourishing neighborhood. In addition to developing numerous programs to support local families, FCS has worked with partners to renovate more than 165 homes in the neighborhood, increasing home ownership to more than 50%. In 2015, the thrift store was converted into Carver Market, an oasis of affordable fresh produce and other groceries in what had long been a food desert.   FCS has worked with two community based non-profits (PBSA and SACL) for over two-years to improve the lives of existing residents in S. Atlanta for over 2-years (measurable metrics)  Please See Tab 33 of the Application.  The applicant has included FCS's IRS Form 990 for 2017 and 2016 and a detailed narrative substantiating their philanthropic activities during the required time period.  Additionaly, the 2018 returns have not been completed; however, a draft can be provided at DCA's request.   These Philanthropic activities are limited to the space provided, FCS leads numerous activities in the Defined Neighborhood that improves residents access to transportation, health care, Food, housing and eductation/job training.   FCS was sought out and invited by a community led effort via the South Atlanta Civic League to become the communities Development Partner two decades ago.  Please see Tab 33 for letter from SACL.  FCS has engaged and relationships with the entire community, please see letters from existing residents , government employees, Price Middle School Principal, and other health and transportation representatives who have agreed to serve on the CQB for the Transformation Plan in Tab 33.  Please see Tab 33 for the entire "FCS Story".</v>
      </c>
      <c r="B1921" s="1852"/>
      <c r="C1921" s="1852"/>
      <c r="D1921" s="1852"/>
      <c r="E1921" s="1852"/>
      <c r="F1921" s="1852"/>
      <c r="G1921" s="1852"/>
      <c r="H1921" s="1852"/>
      <c r="I1921" s="1852"/>
      <c r="J1921" s="1852"/>
      <c r="K1921" s="1852"/>
      <c r="L1921" s="1852"/>
      <c r="M1921" s="1852"/>
      <c r="N1921" s="1852"/>
      <c r="O1921" s="1852"/>
      <c r="P1921" s="1852"/>
      <c r="Q1921" s="2065" t="s">
        <v>1239</v>
      </c>
      <c r="R1921" s="1315"/>
      <c r="S1921" s="1315"/>
      <c r="T1921" s="1315"/>
      <c r="U1921" s="1315"/>
      <c r="V1921" s="1315"/>
      <c r="W1921" s="1315"/>
      <c r="X1921" s="1315"/>
    </row>
    <row r="1922" spans="1:24" ht="14.4">
      <c r="A1922" s="1311"/>
      <c r="B1922" s="2066" t="s">
        <v>1841</v>
      </c>
      <c r="C1922" s="1311"/>
      <c r="D1922" s="2066"/>
      <c r="E1922" s="2068"/>
      <c r="F1922" s="2068"/>
      <c r="G1922" s="2068"/>
      <c r="H1922" s="2068"/>
      <c r="I1922" s="2068"/>
      <c r="J1922" s="2068"/>
      <c r="K1922" s="2068"/>
      <c r="L1922" s="2068"/>
      <c r="M1922" s="2068"/>
      <c r="N1922" s="2144"/>
      <c r="O1922" s="2144"/>
      <c r="P1922" s="1955"/>
      <c r="Q1922" s="2123"/>
      <c r="R1922" s="1315"/>
      <c r="S1922" s="1315"/>
      <c r="T1922" s="1315"/>
      <c r="U1922" s="1315"/>
      <c r="V1922" s="1315"/>
      <c r="W1922" s="1315"/>
      <c r="X1922" s="1315"/>
    </row>
    <row r="1923" spans="1:24" ht="15">
      <c r="A1923" s="1852"/>
      <c r="B1923" s="1852"/>
      <c r="C1923" s="1852"/>
      <c r="D1923" s="1852"/>
      <c r="E1923" s="1852"/>
      <c r="F1923" s="1852"/>
      <c r="G1923" s="1852"/>
      <c r="H1923" s="1852"/>
      <c r="I1923" s="1852"/>
      <c r="J1923" s="1852"/>
      <c r="K1923" s="1852"/>
      <c r="L1923" s="1852"/>
      <c r="M1923" s="1852"/>
      <c r="N1923" s="1852"/>
      <c r="O1923" s="1852"/>
      <c r="P1923" s="1852"/>
      <c r="Q1923" s="2065"/>
      <c r="R1923" s="1315"/>
      <c r="S1923" s="1315"/>
      <c r="T1923" s="1315"/>
      <c r="U1923" s="1315"/>
      <c r="V1923" s="1315"/>
      <c r="W1923" s="1315"/>
      <c r="X1923" s="1315"/>
    </row>
    <row r="1924" spans="1:24">
      <c r="N1924" s="1953"/>
      <c r="O1924" s="1953"/>
      <c r="P1924" s="1953"/>
    </row>
    <row r="1925" spans="1:24" ht="14.4">
      <c r="A1925" s="2159" t="s">
        <v>422</v>
      </c>
      <c r="B1925" s="1995" t="s">
        <v>2740</v>
      </c>
      <c r="C1925" s="2122"/>
      <c r="D1925" s="1997"/>
      <c r="E1925" s="1997"/>
      <c r="F1925" s="2122"/>
      <c r="G1925" s="1786" t="s">
        <v>3975</v>
      </c>
      <c r="H1925" s="2122"/>
      <c r="I1925" s="2122"/>
      <c r="J1925" s="2122"/>
      <c r="K1925" s="2122"/>
      <c r="L1925" s="2122"/>
      <c r="M1925" s="1955">
        <v>6</v>
      </c>
      <c r="N1925" s="1955"/>
      <c r="O1925" s="1965">
        <f>'Part IX Scoring Criteria'!O277</f>
        <v>0</v>
      </c>
      <c r="P1925" s="1965">
        <f>P1927+P1936+P1941</f>
        <v>0</v>
      </c>
      <c r="Q1925" s="1955" t="s">
        <v>437</v>
      </c>
      <c r="R1925" s="1315"/>
      <c r="S1925" s="2122"/>
      <c r="T1925" s="2122"/>
      <c r="U1925" s="2122"/>
      <c r="V1925" s="2122"/>
      <c r="W1925" s="2122"/>
      <c r="X1925" s="2122"/>
    </row>
    <row r="1926" spans="1:24" ht="14.4">
      <c r="A1926" s="2159"/>
      <c r="B1926" s="1995"/>
      <c r="C1926" s="2122"/>
      <c r="D1926" s="1997"/>
      <c r="E1926" s="1997"/>
      <c r="F1926" s="2122"/>
      <c r="G1926" s="1786"/>
      <c r="H1926" s="2122"/>
      <c r="I1926" s="2122"/>
      <c r="J1926" s="2122"/>
      <c r="K1926" s="2122"/>
      <c r="L1926" s="2122"/>
      <c r="M1926" s="1314"/>
      <c r="N1926" s="2122"/>
      <c r="O1926" s="2122"/>
      <c r="P1926" s="2122"/>
      <c r="Q1926" s="1955"/>
      <c r="R1926" s="1315"/>
      <c r="S1926" s="2122"/>
      <c r="T1926" s="2122"/>
      <c r="U1926" s="2122"/>
      <c r="V1926" s="2122"/>
      <c r="W1926" s="2122"/>
      <c r="X1926" s="2122"/>
    </row>
    <row r="1927" spans="1:24" ht="14.4">
      <c r="A1927" s="2227" t="s">
        <v>3518</v>
      </c>
      <c r="B1927" s="1957" t="s">
        <v>4524</v>
      </c>
      <c r="C1927" s="2122"/>
      <c r="D1927" s="1997"/>
      <c r="E1927" s="1997"/>
      <c r="F1927" s="2122"/>
      <c r="G1927" s="2110" t="s">
        <v>4531</v>
      </c>
      <c r="H1927" s="2122"/>
      <c r="J1927" s="2228" t="str">
        <f>'Part I-Project Information'!$O$38</f>
        <v>0067.00</v>
      </c>
      <c r="K1927" s="2228"/>
      <c r="L1927" s="2122"/>
      <c r="M1927" s="1955">
        <v>3</v>
      </c>
      <c r="N1927" s="2005"/>
      <c r="O1927" s="1965">
        <f>'Part IX Scoring Criteria'!O279</f>
        <v>0</v>
      </c>
      <c r="P1927" s="1955"/>
      <c r="Q1927" s="1955"/>
      <c r="R1927" s="1315"/>
      <c r="S1927" s="2122"/>
      <c r="T1927" s="2122"/>
      <c r="U1927" s="2122"/>
      <c r="V1927" s="2122"/>
      <c r="W1927" s="2122"/>
      <c r="X1927" s="2122"/>
    </row>
    <row r="1928" spans="1:24">
      <c r="A1928" s="2227"/>
      <c r="B1928" s="1957" t="s">
        <v>2748</v>
      </c>
      <c r="C1928" s="1203"/>
      <c r="D1928" s="1203"/>
      <c r="G1928" s="1957" t="str">
        <f>'Part I-Project Information'!$H$105</f>
        <v>Flexible</v>
      </c>
      <c r="M1928" s="2097" t="s">
        <v>4525</v>
      </c>
      <c r="N1928" s="2005"/>
      <c r="O1928" s="2097" t="s">
        <v>2477</v>
      </c>
      <c r="P1928" s="2097" t="s">
        <v>2477</v>
      </c>
    </row>
    <row r="1929" spans="1:24" ht="12.75" customHeight="1">
      <c r="A1929" s="2227"/>
      <c r="B1929" s="2195" t="s">
        <v>1960</v>
      </c>
      <c r="C1929" s="1051" t="s">
        <v>2648</v>
      </c>
      <c r="M1929" s="1953"/>
      <c r="N1929" s="2162" t="s">
        <v>1960</v>
      </c>
      <c r="O1929" s="1314">
        <f>'Part IX Scoring Criteria'!O281</f>
        <v>0</v>
      </c>
      <c r="P1929" s="1314"/>
      <c r="Q1929" s="2229" t="str">
        <f>IF(AND(O1929="Yes",O1932="Yes"),"Only 1 or 4 can be 'Yes'!","")</f>
        <v/>
      </c>
      <c r="R1929" s="2229"/>
    </row>
    <row r="1930" spans="1:24" ht="12.75" customHeight="1">
      <c r="B1930" s="2195" t="s">
        <v>1962</v>
      </c>
      <c r="C1930" s="1051" t="s">
        <v>2695</v>
      </c>
      <c r="G1930" s="1051" t="s">
        <v>2358</v>
      </c>
      <c r="H1930" s="2230" t="str">
        <f>'Part IX Scoring Criteria'!H282</f>
        <v>&lt; Select &gt;</v>
      </c>
      <c r="I1930" s="1051" t="s">
        <v>2696</v>
      </c>
      <c r="L1930" s="457" t="s">
        <v>2694</v>
      </c>
      <c r="M1930" s="457" t="str">
        <f>IF(O1930&gt;H1930,"CHECK ACTUAL PERCENT!!!","")</f>
        <v/>
      </c>
      <c r="N1930" s="2162" t="s">
        <v>1962</v>
      </c>
      <c r="O1930" s="2231">
        <f>'Part IX Scoring Criteria'!O282</f>
        <v>0</v>
      </c>
      <c r="P1930" s="2106"/>
      <c r="Q1930" s="2229"/>
      <c r="R1930" s="2229"/>
    </row>
    <row r="1931" spans="1:24" ht="12.75" customHeight="1">
      <c r="B1931" s="2195" t="s">
        <v>2501</v>
      </c>
      <c r="C1931" s="1051" t="s">
        <v>2359</v>
      </c>
      <c r="G1931" s="1051" t="s">
        <v>2360</v>
      </c>
      <c r="J1931" s="2232" t="s">
        <v>4729</v>
      </c>
      <c r="L1931" s="2009" t="s">
        <v>2689</v>
      </c>
      <c r="M1931" s="1311"/>
      <c r="N1931" s="2162" t="s">
        <v>2501</v>
      </c>
      <c r="O1931" s="1314" t="str">
        <f>'Part IX Scoring Criteria'!O283</f>
        <v>&lt;Select&gt;</v>
      </c>
      <c r="P1931" s="1314" t="s">
        <v>199</v>
      </c>
      <c r="Q1931" s="2229"/>
      <c r="R1931" s="2229"/>
    </row>
    <row r="1932" spans="1:24" ht="12.75" customHeight="1">
      <c r="A1932" s="2006"/>
      <c r="B1932" s="2215" t="s">
        <v>1209</v>
      </c>
      <c r="C1932" s="2064" t="s">
        <v>5100</v>
      </c>
      <c r="D1932" s="2064"/>
      <c r="E1932" s="2064"/>
      <c r="F1932" s="2064"/>
      <c r="G1932" s="2064"/>
      <c r="H1932" s="2064"/>
      <c r="I1932" s="2064"/>
      <c r="J1932" s="2232"/>
      <c r="K1932" s="2232" t="s">
        <v>3870</v>
      </c>
      <c r="L1932" s="2006"/>
      <c r="M1932" s="1958">
        <v>2</v>
      </c>
      <c r="N1932" s="2162" t="s">
        <v>1209</v>
      </c>
      <c r="O1932" s="2096">
        <f>'Part IX Scoring Criteria'!O284</f>
        <v>0</v>
      </c>
      <c r="P1932" s="2096"/>
      <c r="Q1932" s="2229"/>
      <c r="R1932" s="2229"/>
      <c r="S1932" s="2006"/>
      <c r="T1932" s="2006"/>
      <c r="U1932" s="2006"/>
      <c r="V1932" s="2006"/>
      <c r="W1932" s="2006"/>
      <c r="X1932" s="2006"/>
    </row>
    <row r="1933" spans="1:24">
      <c r="B1933" s="2184"/>
      <c r="C1933" s="2064"/>
      <c r="D1933" s="2064"/>
      <c r="E1933" s="2064"/>
      <c r="F1933" s="2064"/>
      <c r="G1933" s="2064"/>
      <c r="H1933" s="2064"/>
      <c r="I1933" s="2064"/>
      <c r="J1933" s="2232"/>
      <c r="K1933" s="2232"/>
      <c r="L1933" s="2083" t="s">
        <v>3914</v>
      </c>
      <c r="M1933" s="2083"/>
      <c r="O1933" s="1953"/>
      <c r="P1933" s="1953"/>
    </row>
    <row r="1934" spans="1:24">
      <c r="B1934" s="2184"/>
      <c r="C1934" s="2064"/>
      <c r="D1934" s="2064"/>
      <c r="E1934" s="2064"/>
      <c r="F1934" s="2064"/>
      <c r="G1934" s="2064"/>
      <c r="H1934" s="2064"/>
      <c r="I1934" s="2064"/>
      <c r="J1934" s="2233">
        <f>'Part IX Scoring Criteria'!J286</f>
        <v>0</v>
      </c>
      <c r="K1934" s="2234">
        <f>'Part IX Scoring Criteria'!K286</f>
        <v>0</v>
      </c>
      <c r="L1934" s="2139">
        <f>O1709</f>
        <v>10</v>
      </c>
      <c r="M1934" s="2235">
        <f>P1709</f>
        <v>0</v>
      </c>
      <c r="O1934" s="1953"/>
      <c r="P1934" s="1953"/>
    </row>
    <row r="1935" spans="1:24">
      <c r="A1935" s="1203"/>
      <c r="B1935" s="2195"/>
      <c r="C1935" s="1051"/>
      <c r="M1935" s="1955"/>
      <c r="N1935" s="1956"/>
      <c r="O1935" s="1955"/>
      <c r="P1935" s="1955"/>
    </row>
    <row r="1936" spans="1:24">
      <c r="A1936" s="1203" t="s">
        <v>738</v>
      </c>
      <c r="B1936" s="2195" t="s">
        <v>4526</v>
      </c>
      <c r="C1936" s="1051"/>
      <c r="G1936" s="1051" t="s">
        <v>4527</v>
      </c>
      <c r="M1936" s="1955">
        <v>2</v>
      </c>
      <c r="N1936" s="1981" t="s">
        <v>738</v>
      </c>
      <c r="O1936" s="1965">
        <f>'Part IX Scoring Criteria'!O288</f>
        <v>0</v>
      </c>
      <c r="P1936" s="1965">
        <f>IF(OR(AND(P1937&gt;=60,P1938&gt;=60,P1939&gt;=60),AND(P1937&lt;60,P1938&gt;=60,P1939&gt;=60),AND(P1937&gt;=60,P1938&lt;60,P1939&gt;=60),AND(P1937&gt;=60,P1938&gt;=60,P1939&lt;60)),$M$288,IF(OR(P1937&gt;=60,P1938&gt;=60,P1939&gt;=60),1,0))</f>
        <v>0</v>
      </c>
    </row>
    <row r="1937" spans="1:24">
      <c r="A1937" s="1203"/>
      <c r="B1937" s="2195" t="s">
        <v>1960</v>
      </c>
      <c r="C1937" s="457" t="s">
        <v>4724</v>
      </c>
      <c r="D1937" s="457"/>
      <c r="G1937" s="457" t="s">
        <v>4528</v>
      </c>
      <c r="H1937" s="2031"/>
      <c r="I1937" s="2031"/>
      <c r="J1937" s="1311"/>
      <c r="K1937" s="1311"/>
      <c r="L1937" s="1311"/>
      <c r="M1937" s="1311"/>
      <c r="N1937" s="2162" t="s">
        <v>1960</v>
      </c>
      <c r="O1937" s="2236">
        <f>'Part IX Scoring Criteria'!O289</f>
        <v>0</v>
      </c>
      <c r="P1937" s="2126"/>
    </row>
    <row r="1938" spans="1:24">
      <c r="A1938" s="1203"/>
      <c r="B1938" s="2195" t="s">
        <v>1962</v>
      </c>
      <c r="C1938" s="457" t="s">
        <v>4725</v>
      </c>
      <c r="D1938" s="457"/>
      <c r="G1938" s="457" t="s">
        <v>4529</v>
      </c>
      <c r="H1938" s="2031"/>
      <c r="I1938" s="2031"/>
      <c r="J1938" s="1311"/>
      <c r="K1938" s="1311"/>
      <c r="L1938" s="1311"/>
      <c r="M1938" s="1311"/>
      <c r="N1938" s="2162" t="s">
        <v>1962</v>
      </c>
      <c r="O1938" s="2236">
        <f>'Part IX Scoring Criteria'!O290</f>
        <v>0</v>
      </c>
      <c r="P1938" s="2126"/>
      <c r="R1938" s="638" t="s">
        <v>4735</v>
      </c>
    </row>
    <row r="1939" spans="1:24">
      <c r="A1939" s="1203"/>
      <c r="B1939" s="2195" t="s">
        <v>2501</v>
      </c>
      <c r="C1939" s="457" t="s">
        <v>4726</v>
      </c>
      <c r="D1939" s="457"/>
      <c r="G1939" s="457" t="s">
        <v>4530</v>
      </c>
      <c r="H1939" s="2031"/>
      <c r="I1939" s="2031"/>
      <c r="J1939" s="1311"/>
      <c r="K1939" s="1311"/>
      <c r="L1939" s="1311"/>
      <c r="M1939" s="1311"/>
      <c r="N1939" s="2162" t="s">
        <v>2501</v>
      </c>
      <c r="O1939" s="2236">
        <f>'Part IX Scoring Criteria'!O291</f>
        <v>0</v>
      </c>
      <c r="P1939" s="2126"/>
    </row>
    <row r="1940" spans="1:24">
      <c r="A1940" s="1203"/>
      <c r="B1940" s="2195"/>
      <c r="C1940" s="1051"/>
      <c r="M1940" s="1955"/>
      <c r="N1940" s="1956"/>
      <c r="O1940" s="1955"/>
      <c r="P1940" s="1955"/>
    </row>
    <row r="1941" spans="1:24">
      <c r="A1941" s="1203" t="s">
        <v>2088</v>
      </c>
      <c r="B1941" s="2195" t="s">
        <v>3519</v>
      </c>
      <c r="C1941" s="1051"/>
      <c r="G1941" s="1314" t="s">
        <v>3521</v>
      </c>
      <c r="H1941" s="2106">
        <f>'Part IX Scoring Criteria'!H293</f>
        <v>0.15476190476190477</v>
      </c>
      <c r="J1941" s="2109" t="s">
        <v>4532</v>
      </c>
      <c r="K1941" s="2237" t="str">
        <f>'Part I-Project Information'!$K$94</f>
        <v>40% of Units at 60% of AMI</v>
      </c>
      <c r="L1941" s="2237"/>
      <c r="M1941" s="1955">
        <v>1</v>
      </c>
      <c r="N1941" s="1956" t="s">
        <v>2088</v>
      </c>
      <c r="O1941" s="1955">
        <f>'Part IX Scoring Criteria'!O293</f>
        <v>0</v>
      </c>
      <c r="P1941" s="1955">
        <f>IF(AND($G$280="Flexible",(P$279+P$288)&gt;=3,$H$293&gt;=10%,NOT($K$293="Income Averaging")),$M$293,IF(AND($G$280="Flexible",(P$279+P$288)&gt;=3,$H$293=0%,$K$293="Income Averaging"),$M$293,0))</f>
        <v>0</v>
      </c>
    </row>
    <row r="1942" spans="1:24">
      <c r="A1942" s="1203"/>
      <c r="B1942" s="2195"/>
      <c r="C1942" s="1051"/>
      <c r="M1942" s="1955"/>
      <c r="N1942" s="1956"/>
      <c r="O1942" s="1955"/>
      <c r="P1942" s="1955"/>
    </row>
    <row r="1943" spans="1:24" ht="14.4">
      <c r="A1943" s="1311"/>
      <c r="B1943" s="2066" t="s">
        <v>1841</v>
      </c>
      <c r="C1943" s="1311"/>
      <c r="D1943" s="2066"/>
      <c r="E1943" s="2068"/>
      <c r="F1943" s="2068"/>
      <c r="G1943" s="2068"/>
      <c r="H1943" s="2068"/>
      <c r="I1943" s="2068"/>
      <c r="J1943" s="2068"/>
      <c r="K1943" s="2068"/>
      <c r="L1943" s="2068"/>
      <c r="M1943" s="2068"/>
      <c r="N1943" s="2144"/>
      <c r="O1943" s="2144"/>
      <c r="P1943" s="1955"/>
      <c r="Q1943" s="2123"/>
      <c r="R1943" s="1315"/>
      <c r="S1943" s="1315"/>
      <c r="T1943" s="1315"/>
      <c r="U1943" s="1315"/>
      <c r="V1943" s="1315"/>
      <c r="W1943" s="1315"/>
      <c r="X1943" s="1315"/>
    </row>
    <row r="1944" spans="1:24" ht="15">
      <c r="A1944" s="1852"/>
      <c r="B1944" s="1852"/>
      <c r="C1944" s="1852"/>
      <c r="D1944" s="1852"/>
      <c r="E1944" s="1852"/>
      <c r="F1944" s="1852"/>
      <c r="G1944" s="1852"/>
      <c r="H1944" s="1852"/>
      <c r="I1944" s="1852"/>
      <c r="J1944" s="1852"/>
      <c r="K1944" s="1852"/>
      <c r="L1944" s="1852"/>
      <c r="M1944" s="1852"/>
      <c r="N1944" s="1852"/>
      <c r="O1944" s="1852"/>
      <c r="P1944" s="1852"/>
      <c r="Q1944" s="2065"/>
      <c r="R1944" s="1315"/>
      <c r="S1944" s="1315"/>
      <c r="T1944" s="1315"/>
      <c r="U1944" s="1315"/>
      <c r="V1944" s="1315"/>
      <c r="W1944" s="1315"/>
      <c r="X1944" s="1315"/>
    </row>
    <row r="1945" spans="1:24" ht="14.4">
      <c r="A1945" s="1311"/>
      <c r="B1945" s="1315"/>
      <c r="C1945" s="1315"/>
      <c r="D1945" s="457"/>
      <c r="E1945" s="457"/>
      <c r="F1945" s="1955"/>
      <c r="G1945" s="1955"/>
      <c r="H1945" s="1955"/>
      <c r="I1945" s="1955"/>
      <c r="J1945" s="2009"/>
      <c r="K1945" s="2009"/>
      <c r="L1945" s="2009"/>
      <c r="M1945" s="1314"/>
      <c r="N1945" s="1955"/>
      <c r="O1945" s="1953"/>
      <c r="P1945" s="2028"/>
      <c r="Q1945" s="1315"/>
      <c r="R1945" s="1315"/>
      <c r="S1945" s="1315"/>
      <c r="T1945" s="1315"/>
      <c r="U1945" s="1315"/>
      <c r="V1945" s="1315"/>
      <c r="W1945" s="1315"/>
      <c r="X1945" s="1315"/>
    </row>
    <row r="1946" spans="1:24" ht="14.4">
      <c r="A1946" s="2159" t="s">
        <v>359</v>
      </c>
      <c r="B1946" s="1995" t="s">
        <v>3871</v>
      </c>
      <c r="C1946" s="2122"/>
      <c r="D1946" s="1997"/>
      <c r="E1946" s="1997"/>
      <c r="F1946" s="2122"/>
      <c r="G1946" s="2122"/>
      <c r="H1946" s="1786"/>
      <c r="I1946" s="2238" t="s">
        <v>3684</v>
      </c>
      <c r="J1946" s="2122"/>
      <c r="K1946" s="2122"/>
      <c r="L1946" s="2122"/>
      <c r="M1946" s="1955">
        <v>10</v>
      </c>
      <c r="N1946" s="1955"/>
      <c r="O1946" s="2028">
        <f>'Part IX Scoring Criteria'!O298</f>
        <v>0</v>
      </c>
      <c r="P1946" s="2028">
        <f>IF(OR(P1947="Yes",P1948="Yes"),$M$298,0)</f>
        <v>0</v>
      </c>
      <c r="Q1946" s="1955" t="s">
        <v>437</v>
      </c>
      <c r="R1946" s="1315"/>
      <c r="S1946" s="2122"/>
      <c r="T1946" s="2122"/>
      <c r="U1946" s="2122"/>
      <c r="V1946" s="2122"/>
      <c r="W1946" s="2122"/>
      <c r="X1946" s="2122"/>
    </row>
    <row r="1947" spans="1:24">
      <c r="A1947" s="1958" t="s">
        <v>1957</v>
      </c>
      <c r="B1947" s="2100" t="s">
        <v>3677</v>
      </c>
      <c r="D1947" s="2100"/>
      <c r="E1947" s="2100"/>
      <c r="F1947" s="2100"/>
      <c r="G1947" s="2100"/>
      <c r="H1947" s="2100"/>
      <c r="I1947" s="2100"/>
      <c r="J1947" s="2100"/>
      <c r="K1947" s="2100"/>
      <c r="L1947" s="2100"/>
      <c r="M1947" s="1968" t="str">
        <f>IF(OR(SUM(T1947:T1948)&gt;1,SUM(U1947:U1948)&gt;1),"Only one category can be met by other means!","")</f>
        <v/>
      </c>
      <c r="N1947" s="2098" t="s">
        <v>1957</v>
      </c>
      <c r="O1947" s="1314">
        <f>'Part IX Scoring Criteria'!O299</f>
        <v>0</v>
      </c>
      <c r="P1947" s="1314"/>
      <c r="U1947" s="2097">
        <f>IF(L1947="Yes",1,0)</f>
        <v>0</v>
      </c>
    </row>
    <row r="1948" spans="1:24">
      <c r="A1948" s="1958" t="s">
        <v>1959</v>
      </c>
      <c r="B1948" s="2100" t="s">
        <v>3678</v>
      </c>
      <c r="D1948" s="2100"/>
      <c r="L1948" s="2100"/>
      <c r="M1948" s="1968"/>
      <c r="N1948" s="2098" t="s">
        <v>1959</v>
      </c>
      <c r="O1948" s="1314">
        <f>'Part IX Scoring Criteria'!O300</f>
        <v>0</v>
      </c>
      <c r="P1948" s="1314"/>
      <c r="U1948" s="2097">
        <f>IF(L1948="Yes",1,0)</f>
        <v>0</v>
      </c>
    </row>
    <row r="1949" spans="1:24" ht="14.4">
      <c r="A1949" s="1311"/>
      <c r="B1949" s="1997" t="s">
        <v>3645</v>
      </c>
      <c r="C1949" s="1311"/>
      <c r="D1949" s="1957"/>
      <c r="E1949" s="1957"/>
      <c r="F1949" s="1957"/>
      <c r="G1949" s="1957"/>
      <c r="H1949" s="457"/>
      <c r="I1949" s="457"/>
      <c r="J1949" s="457"/>
      <c r="K1949" s="457"/>
      <c r="L1949" s="1315"/>
      <c r="M1949" s="1955"/>
      <c r="N1949" s="1953"/>
      <c r="O1949" s="2028"/>
      <c r="P1949" s="1953"/>
      <c r="Q1949" s="1315"/>
      <c r="R1949" s="1315"/>
      <c r="S1949" s="1315"/>
      <c r="T1949" s="1315"/>
      <c r="U1949" s="1315"/>
      <c r="V1949" s="1315"/>
      <c r="W1949" s="1315"/>
      <c r="X1949" s="1315"/>
    </row>
    <row r="1950" spans="1:24" ht="51">
      <c r="A1950" s="2064" t="str">
        <f>'Part IX Scoring Criteria'!A302</f>
        <v>The applicant is not eligible for points in this category.</v>
      </c>
      <c r="B1950" s="2064"/>
      <c r="C1950" s="2064"/>
      <c r="D1950" s="2064"/>
      <c r="E1950" s="2064"/>
      <c r="F1950" s="2064"/>
      <c r="G1950" s="2064"/>
      <c r="H1950" s="2064"/>
      <c r="I1950" s="2064"/>
      <c r="J1950" s="2064"/>
      <c r="K1950" s="2064"/>
      <c r="L1950" s="2064"/>
      <c r="M1950" s="2064"/>
      <c r="N1950" s="2064"/>
      <c r="O1950" s="2064"/>
      <c r="P1950" s="2064"/>
      <c r="Q1950" s="2065" t="s">
        <v>1239</v>
      </c>
      <c r="R1950" s="1315"/>
      <c r="S1950" s="1315"/>
      <c r="T1950" s="1315"/>
      <c r="U1950" s="1315"/>
      <c r="V1950" s="1315"/>
      <c r="W1950" s="1315"/>
      <c r="X1950" s="1315"/>
    </row>
    <row r="1951" spans="1:24" ht="14.4">
      <c r="A1951" s="1311"/>
      <c r="B1951" s="2066" t="s">
        <v>1841</v>
      </c>
      <c r="C1951" s="1311"/>
      <c r="D1951" s="2066"/>
      <c r="E1951" s="2068"/>
      <c r="F1951" s="2068"/>
      <c r="G1951" s="2068"/>
      <c r="H1951" s="2068"/>
      <c r="I1951" s="2068"/>
      <c r="J1951" s="2068"/>
      <c r="K1951" s="2068"/>
      <c r="L1951" s="2068"/>
      <c r="M1951" s="2068"/>
      <c r="N1951" s="2144"/>
      <c r="O1951" s="2144"/>
      <c r="P1951" s="1955"/>
      <c r="Q1951" s="2123"/>
      <c r="R1951" s="1315"/>
      <c r="S1951" s="1315"/>
      <c r="T1951" s="1315"/>
      <c r="U1951" s="1315"/>
      <c r="V1951" s="1315"/>
      <c r="W1951" s="1315"/>
      <c r="X1951" s="1315"/>
    </row>
    <row r="1952" spans="1:24" ht="15">
      <c r="A1952" s="1852"/>
      <c r="B1952" s="1852"/>
      <c r="C1952" s="1852"/>
      <c r="D1952" s="1852"/>
      <c r="E1952" s="1852"/>
      <c r="F1952" s="1852"/>
      <c r="G1952" s="1852"/>
      <c r="H1952" s="1852"/>
      <c r="I1952" s="1852"/>
      <c r="J1952" s="1852"/>
      <c r="K1952" s="1852"/>
      <c r="L1952" s="1852"/>
      <c r="M1952" s="1852"/>
      <c r="N1952" s="1852"/>
      <c r="O1952" s="1852"/>
      <c r="P1952" s="1852"/>
      <c r="Q1952" s="2065"/>
      <c r="R1952" s="1315"/>
      <c r="S1952" s="1315"/>
      <c r="T1952" s="1315"/>
      <c r="U1952" s="1315"/>
      <c r="V1952" s="1315"/>
      <c r="W1952" s="1315"/>
      <c r="X1952" s="1315"/>
    </row>
    <row r="1953" spans="1:24" ht="14.4">
      <c r="A1953" s="1311"/>
      <c r="B1953" s="1315"/>
      <c r="C1953" s="1315"/>
      <c r="D1953" s="457"/>
      <c r="E1953" s="457"/>
      <c r="F1953" s="1955"/>
      <c r="G1953" s="1955"/>
      <c r="H1953" s="1955"/>
      <c r="I1953" s="1955"/>
      <c r="J1953" s="2009"/>
      <c r="K1953" s="2009"/>
      <c r="L1953" s="2009"/>
      <c r="M1953" s="1314"/>
      <c r="N1953" s="1955"/>
      <c r="O1953" s="1953"/>
      <c r="P1953" s="2028"/>
      <c r="Q1953" s="1315"/>
      <c r="R1953" s="1315"/>
      <c r="S1953" s="1315"/>
      <c r="T1953" s="1315"/>
      <c r="U1953" s="1315"/>
      <c r="V1953" s="1315"/>
      <c r="W1953" s="1315"/>
      <c r="X1953" s="1315"/>
    </row>
    <row r="1954" spans="1:24" ht="14.4">
      <c r="A1954" s="2159" t="s">
        <v>360</v>
      </c>
      <c r="B1954" s="1995" t="s">
        <v>2427</v>
      </c>
      <c r="C1954" s="1315"/>
      <c r="D1954" s="2180"/>
      <c r="E1954" s="2180"/>
      <c r="F1954" s="2180"/>
      <c r="G1954" s="1315"/>
      <c r="H1954" s="2010" t="s">
        <v>4536</v>
      </c>
      <c r="I1954" s="1315"/>
      <c r="J1954" s="457" t="s">
        <v>2748</v>
      </c>
      <c r="K1954" s="1957"/>
      <c r="L1954" s="457" t="str">
        <f>'Part I-Project Information'!$H$105</f>
        <v>Flexible</v>
      </c>
      <c r="M1954" s="1955">
        <v>4</v>
      </c>
      <c r="N1954" s="1955"/>
      <c r="O1954" s="1955">
        <f>'Part IX Scoring Criteria'!O306</f>
        <v>3</v>
      </c>
      <c r="P1954" s="1955">
        <f>IF(AND($L$306="Flexible",P1955=$M1955),$M1955,IF(AND($L$306="Flexible",P1964&gt;0),P1964,IF(AND($L$306="Rural",P1968&gt;0),P1968,0)))</f>
        <v>0</v>
      </c>
      <c r="Q1954" s="1955" t="s">
        <v>437</v>
      </c>
      <c r="R1954" s="1315"/>
      <c r="S1954" s="1315"/>
      <c r="T1954" s="1315"/>
      <c r="U1954" s="1315"/>
      <c r="V1954" s="1315"/>
      <c r="W1954" s="1315"/>
      <c r="X1954" s="1315"/>
    </row>
    <row r="1955" spans="1:24">
      <c r="A1955" s="1958" t="s">
        <v>1957</v>
      </c>
      <c r="B1955" s="1957" t="s">
        <v>5101</v>
      </c>
      <c r="D1955" s="1311"/>
      <c r="E1955" s="1311"/>
      <c r="F1955" s="1311"/>
      <c r="H1955" s="457" t="s">
        <v>3584</v>
      </c>
      <c r="I1955" s="1051"/>
      <c r="J1955" s="457" t="str">
        <f>'Part I-Project Information'!$O$34</f>
        <v>No</v>
      </c>
      <c r="K1955" s="457"/>
      <c r="L1955" s="2110">
        <f>'Part I-Project Information'!$O$35</f>
        <v>0</v>
      </c>
      <c r="M1955" s="1955">
        <v>3</v>
      </c>
      <c r="N1955" s="2098" t="s">
        <v>1957</v>
      </c>
      <c r="O1955" s="2028">
        <f>'Part IX Scoring Criteria'!O307</f>
        <v>0</v>
      </c>
      <c r="P1955" s="2028"/>
      <c r="Q1955" s="2121" t="str">
        <f>IF(OR($O1955=$M1955,$O1955=0,$O1955=""),"","*CHECK!*")</f>
        <v/>
      </c>
      <c r="R1955" s="1828" t="s">
        <v>2667</v>
      </c>
    </row>
    <row r="1956" spans="1:24" ht="12.75" customHeight="1">
      <c r="A1956" s="1051"/>
      <c r="B1956" s="2215" t="s">
        <v>1960</v>
      </c>
      <c r="C1956" s="2064" t="s">
        <v>4793</v>
      </c>
      <c r="D1956" s="2064"/>
      <c r="E1956" s="2064"/>
      <c r="F1956" s="2064"/>
      <c r="G1956" s="2064"/>
      <c r="H1956" s="2064"/>
      <c r="I1956" s="2064"/>
      <c r="J1956" s="2064"/>
      <c r="K1956" s="2064"/>
      <c r="L1956" s="2064"/>
      <c r="M1956" s="2064"/>
      <c r="N1956" s="2137" t="s">
        <v>1960</v>
      </c>
      <c r="O1956" s="2096">
        <f>'Part IX Scoring Criteria'!O308</f>
        <v>0</v>
      </c>
      <c r="P1956" s="2096"/>
      <c r="Q1956" s="2064" t="s">
        <v>5102</v>
      </c>
      <c r="R1956" s="2064"/>
      <c r="S1956" s="2064"/>
      <c r="T1956" s="2064"/>
      <c r="U1956" s="2064"/>
      <c r="V1956" s="2064"/>
      <c r="W1956" s="2064"/>
      <c r="X1956" s="2064"/>
    </row>
    <row r="1957" spans="1:24">
      <c r="A1957" s="457"/>
      <c r="B1957" s="2195"/>
      <c r="C1957" s="457" t="s">
        <v>3690</v>
      </c>
      <c r="D1957" s="457"/>
      <c r="E1957" s="457"/>
      <c r="F1957" s="457"/>
      <c r="G1957" s="457"/>
      <c r="H1957" s="457"/>
      <c r="I1957" s="2098" t="s">
        <v>4537</v>
      </c>
      <c r="J1957" s="2009">
        <f>'Part IX Scoring Criteria'!J309</f>
        <v>0</v>
      </c>
      <c r="K1957" s="2009" t="s">
        <v>2272</v>
      </c>
      <c r="L1957" s="457">
        <f>'Part IX Scoring Criteria'!L309</f>
        <v>0</v>
      </c>
      <c r="M1957" s="457">
        <f>'Part IX Scoring Criteria'!M309</f>
        <v>0</v>
      </c>
      <c r="N1957" s="457">
        <f>'Part IX Scoring Criteria'!N309</f>
        <v>0</v>
      </c>
      <c r="O1957" s="457">
        <f>'Part IX Scoring Criteria'!O309</f>
        <v>0</v>
      </c>
      <c r="P1957" s="457">
        <f>'Part IX Scoring Criteria'!P309</f>
        <v>0</v>
      </c>
      <c r="Q1957" s="2064"/>
      <c r="R1957" s="2064"/>
      <c r="S1957" s="2064"/>
      <c r="T1957" s="457"/>
      <c r="U1957" s="457"/>
      <c r="V1957" s="457"/>
      <c r="W1957" s="457"/>
      <c r="X1957" s="457"/>
    </row>
    <row r="1958" spans="1:24">
      <c r="A1958" s="457"/>
      <c r="B1958" s="2195"/>
      <c r="C1958" s="457" t="s">
        <v>3730</v>
      </c>
      <c r="D1958" s="457"/>
      <c r="E1958" s="457"/>
      <c r="F1958" s="457"/>
      <c r="G1958" s="457"/>
      <c r="H1958" s="457"/>
      <c r="I1958" s="2098" t="s">
        <v>4537</v>
      </c>
      <c r="J1958" s="2009">
        <f>'Part IX Scoring Criteria'!J310</f>
        <v>0</v>
      </c>
      <c r="K1958" s="2009" t="s">
        <v>2272</v>
      </c>
      <c r="L1958" s="457">
        <f>'Part IX Scoring Criteria'!L310</f>
        <v>0</v>
      </c>
      <c r="M1958" s="457">
        <f>'Part IX Scoring Criteria'!M310</f>
        <v>0</v>
      </c>
      <c r="N1958" s="457">
        <f>'Part IX Scoring Criteria'!N310</f>
        <v>0</v>
      </c>
      <c r="O1958" s="457">
        <f>'Part IX Scoring Criteria'!O310</f>
        <v>0</v>
      </c>
      <c r="P1958" s="457">
        <f>'Part IX Scoring Criteria'!P310</f>
        <v>0</v>
      </c>
      <c r="Q1958" s="2064"/>
      <c r="R1958" s="2064"/>
      <c r="S1958" s="2064"/>
      <c r="T1958" s="457"/>
      <c r="U1958" s="457"/>
      <c r="V1958" s="457"/>
      <c r="W1958" s="457"/>
      <c r="X1958" s="457"/>
    </row>
    <row r="1959" spans="1:24">
      <c r="A1959" s="457"/>
      <c r="B1959" s="2195" t="s">
        <v>1962</v>
      </c>
      <c r="C1959" s="457" t="s">
        <v>950</v>
      </c>
      <c r="D1959" s="457"/>
      <c r="E1959" s="457"/>
      <c r="F1959" s="457"/>
      <c r="G1959" s="457"/>
      <c r="H1959" s="457"/>
      <c r="I1959" s="457"/>
      <c r="J1959" s="457"/>
      <c r="K1959" s="457"/>
      <c r="L1959" s="457"/>
      <c r="M1959" s="1955"/>
      <c r="N1959" s="2162" t="s">
        <v>1962</v>
      </c>
      <c r="O1959" s="1314">
        <f>'Part IX Scoring Criteria'!O311</f>
        <v>0</v>
      </c>
      <c r="P1959" s="1314"/>
      <c r="Q1959" s="2064"/>
      <c r="R1959" s="2064"/>
      <c r="S1959" s="2064"/>
      <c r="T1959" s="457"/>
      <c r="U1959" s="457"/>
      <c r="V1959" s="457"/>
      <c r="W1959" s="457"/>
      <c r="X1959" s="457"/>
    </row>
    <row r="1960" spans="1:24">
      <c r="A1960" s="457"/>
      <c r="B1960" s="2195" t="s">
        <v>2501</v>
      </c>
      <c r="C1960" s="457" t="s">
        <v>951</v>
      </c>
      <c r="D1960" s="457"/>
      <c r="E1960" s="457"/>
      <c r="F1960" s="457"/>
      <c r="G1960" s="457"/>
      <c r="H1960" s="457"/>
      <c r="I1960" s="457"/>
      <c r="J1960" s="457"/>
      <c r="K1960" s="457"/>
      <c r="L1960" s="457"/>
      <c r="M1960" s="1955"/>
      <c r="N1960" s="2162" t="s">
        <v>2501</v>
      </c>
      <c r="O1960" s="1314">
        <f>'Part IX Scoring Criteria'!O312</f>
        <v>0</v>
      </c>
      <c r="P1960" s="1314"/>
      <c r="Q1960" s="2064"/>
      <c r="R1960" s="2064"/>
      <c r="S1960" s="2064"/>
      <c r="T1960" s="457"/>
      <c r="U1960" s="457"/>
      <c r="V1960" s="457"/>
      <c r="W1960" s="457"/>
      <c r="X1960" s="457"/>
    </row>
    <row r="1961" spans="1:24">
      <c r="A1961" s="457"/>
      <c r="B1961" s="2195" t="s">
        <v>1209</v>
      </c>
      <c r="C1961" s="457" t="s">
        <v>4542</v>
      </c>
      <c r="D1961" s="457"/>
      <c r="E1961" s="457"/>
      <c r="F1961" s="457"/>
      <c r="G1961" s="457"/>
      <c r="H1961" s="457"/>
      <c r="I1961" s="457"/>
      <c r="J1961" s="457"/>
      <c r="K1961" s="457"/>
      <c r="L1961" s="457"/>
      <c r="M1961" s="1955"/>
      <c r="N1961" s="2162" t="s">
        <v>1209</v>
      </c>
      <c r="O1961" s="1314">
        <f>'Part IX Scoring Criteria'!O313</f>
        <v>0</v>
      </c>
      <c r="P1961" s="1314"/>
      <c r="Q1961" s="2064"/>
      <c r="R1961" s="2064"/>
      <c r="S1961" s="2064"/>
      <c r="T1961" s="457"/>
      <c r="U1961" s="457"/>
      <c r="V1961" s="457"/>
      <c r="W1961" s="457"/>
      <c r="X1961" s="457"/>
    </row>
    <row r="1962" spans="1:24">
      <c r="A1962" s="2098"/>
      <c r="B1962" s="2195" t="s">
        <v>1210</v>
      </c>
      <c r="C1962" s="457" t="s">
        <v>952</v>
      </c>
      <c r="D1962" s="457"/>
      <c r="E1962" s="457"/>
      <c r="F1962" s="457"/>
      <c r="G1962" s="457"/>
      <c r="H1962" s="457"/>
      <c r="I1962" s="457"/>
      <c r="J1962" s="457"/>
      <c r="K1962" s="457"/>
      <c r="L1962" s="457"/>
      <c r="M1962" s="1955"/>
      <c r="N1962" s="2162" t="s">
        <v>1210</v>
      </c>
      <c r="O1962" s="1314">
        <f>'Part IX Scoring Criteria'!O314</f>
        <v>0</v>
      </c>
      <c r="P1962" s="1314"/>
      <c r="Q1962" s="2064"/>
      <c r="R1962" s="2064"/>
      <c r="S1962" s="2064"/>
      <c r="T1962" s="457"/>
      <c r="U1962" s="457"/>
      <c r="V1962" s="457"/>
      <c r="W1962" s="457"/>
      <c r="X1962" s="457"/>
    </row>
    <row r="1963" spans="1:24">
      <c r="A1963" s="1958" t="s">
        <v>1959</v>
      </c>
      <c r="B1963" s="1957" t="s">
        <v>5103</v>
      </c>
      <c r="C1963" s="1311"/>
      <c r="D1963" s="1311"/>
      <c r="E1963" s="1311"/>
      <c r="F1963" s="1311"/>
      <c r="G1963" s="1311"/>
      <c r="H1963" s="2010" t="s">
        <v>4538</v>
      </c>
      <c r="I1963" s="1311"/>
      <c r="J1963" s="1311"/>
      <c r="K1963" s="1311"/>
      <c r="L1963" s="1311"/>
      <c r="M1963" s="1311"/>
      <c r="N1963" s="1311"/>
      <c r="O1963" s="1311"/>
      <c r="P1963" s="1311"/>
      <c r="Q1963" s="1311"/>
      <c r="R1963" s="1311"/>
      <c r="S1963" s="1311"/>
      <c r="T1963" s="1311"/>
      <c r="U1963" s="1311"/>
      <c r="V1963" s="1311"/>
      <c r="W1963" s="1311"/>
      <c r="X1963" s="1311"/>
    </row>
    <row r="1964" spans="1:24">
      <c r="A1964" s="1958"/>
      <c r="B1964" s="1201" t="s">
        <v>4543</v>
      </c>
      <c r="C1964" s="1201"/>
      <c r="D1964" s="1201"/>
      <c r="E1964" s="1201"/>
      <c r="F1964" s="1201"/>
      <c r="G1964" s="1201"/>
      <c r="H1964" s="1201"/>
      <c r="I1964" s="1201"/>
      <c r="J1964" s="1201"/>
      <c r="K1964" s="1201"/>
      <c r="L1964" s="1201"/>
      <c r="M1964" s="1955">
        <v>3</v>
      </c>
      <c r="N1964" s="2098" t="s">
        <v>1959</v>
      </c>
      <c r="O1964" s="2028">
        <f>'Part IX Scoring Criteria'!O316</f>
        <v>3</v>
      </c>
      <c r="P1964" s="2028">
        <f>IF(AND(P1965&gt;0,P1966&gt;0),"choose",IF($L$306="Flexible", MIN($M$316, SUM(P1965:P1966)), 0))</f>
        <v>0</v>
      </c>
      <c r="Q1964" s="1311"/>
      <c r="R1964" s="1311"/>
      <c r="S1964" s="1311"/>
      <c r="T1964" s="1311"/>
      <c r="U1964" s="1311"/>
      <c r="V1964" s="1311"/>
      <c r="W1964" s="1311"/>
      <c r="X1964" s="1311"/>
    </row>
    <row r="1965" spans="1:24">
      <c r="A1965" s="1311"/>
      <c r="B1965" s="2195" t="s">
        <v>1960</v>
      </c>
      <c r="C1965" s="457" t="s">
        <v>4794</v>
      </c>
      <c r="D1965" s="1311"/>
      <c r="E1965" s="1311"/>
      <c r="F1965" s="1311"/>
      <c r="G1965" s="1311"/>
      <c r="H1965" s="1311"/>
      <c r="I1965" s="1311"/>
      <c r="J1965" s="1311"/>
      <c r="K1965" s="1311"/>
      <c r="L1965" s="2142" t="str">
        <f>IF(OR($O1965=$M1965,$O1965=0,$O1965=""),"","* * Check Score! * *")</f>
        <v/>
      </c>
      <c r="M1965" s="1955">
        <v>3</v>
      </c>
      <c r="N1965" s="2184" t="s">
        <v>1960</v>
      </c>
      <c r="O1965" s="2028">
        <f>'Part IX Scoring Criteria'!O317</f>
        <v>3</v>
      </c>
      <c r="P1965" s="2028"/>
      <c r="Q1965" s="2121" t="str">
        <f>IF(OR($O1965=$M1965,$O1965=0,$O1965=""),"","*CHECK!*")</f>
        <v/>
      </c>
      <c r="R1965" s="1828" t="s">
        <v>2667</v>
      </c>
      <c r="S1965" s="1311"/>
      <c r="T1965" s="1311"/>
      <c r="U1965" s="1311"/>
      <c r="V1965" s="1311"/>
      <c r="W1965" s="1311"/>
      <c r="X1965" s="1311"/>
    </row>
    <row r="1966" spans="1:24">
      <c r="A1966" s="1314"/>
      <c r="B1966" s="2215" t="s">
        <v>1962</v>
      </c>
      <c r="C1966" s="1051" t="s">
        <v>4795</v>
      </c>
      <c r="D1966" s="1311"/>
      <c r="E1966" s="1311"/>
      <c r="F1966" s="1311"/>
      <c r="G1966" s="2009"/>
      <c r="H1966" s="2010"/>
      <c r="I1966" s="2009"/>
      <c r="L1966" s="2142" t="str">
        <f>IF(OR($O1966=$M1966,$O1966=0,$O1966=""),"","* * Check Score! * *")</f>
        <v/>
      </c>
      <c r="M1966" s="1953">
        <v>2</v>
      </c>
      <c r="N1966" s="2184" t="s">
        <v>1962</v>
      </c>
      <c r="O1966" s="2028">
        <f>'Part IX Scoring Criteria'!O318</f>
        <v>0</v>
      </c>
      <c r="P1966" s="2028"/>
      <c r="Q1966" s="2121" t="str">
        <f>IF(OR($O1966=$M1966,$O1966=0,$O1966=""),"","*CHECK!*")</f>
        <v/>
      </c>
      <c r="R1966" s="1828" t="s">
        <v>2667</v>
      </c>
    </row>
    <row r="1967" spans="1:24">
      <c r="A1967" s="1958" t="s">
        <v>738</v>
      </c>
      <c r="B1967" s="1957" t="s">
        <v>5104</v>
      </c>
      <c r="C1967" s="1311"/>
      <c r="D1967" s="1311"/>
      <c r="E1967" s="1311"/>
      <c r="F1967" s="1311"/>
      <c r="G1967" s="1311"/>
      <c r="H1967" s="2010" t="s">
        <v>4539</v>
      </c>
      <c r="I1967" s="1311"/>
      <c r="J1967" s="1311"/>
      <c r="K1967" s="1311"/>
      <c r="L1967" s="1311"/>
      <c r="M1967" s="1311"/>
      <c r="N1967" s="1311"/>
      <c r="O1967" s="1311"/>
      <c r="P1967" s="1311"/>
      <c r="Q1967" s="1311"/>
      <c r="R1967" s="1311"/>
      <c r="S1967" s="1311"/>
      <c r="T1967" s="1311"/>
      <c r="U1967" s="1311"/>
      <c r="V1967" s="1311"/>
      <c r="W1967" s="1311"/>
      <c r="X1967" s="1311"/>
    </row>
    <row r="1968" spans="1:24">
      <c r="A1968" s="1958"/>
      <c r="B1968" s="1957" t="s">
        <v>3524</v>
      </c>
      <c r="C1968" s="1311"/>
      <c r="D1968" s="1311"/>
      <c r="E1968" s="1311"/>
      <c r="F1968" s="1311"/>
      <c r="G1968" s="1311"/>
      <c r="H1968" s="2010"/>
      <c r="I1968" s="1311"/>
      <c r="J1968" s="1311"/>
      <c r="K1968" s="1311"/>
      <c r="L1968" s="1311"/>
      <c r="M1968" s="1955">
        <v>4</v>
      </c>
      <c r="N1968" s="2098" t="s">
        <v>738</v>
      </c>
      <c r="O1968" s="2028">
        <f>'Part IX Scoring Criteria'!O320</f>
        <v>0</v>
      </c>
      <c r="P1968" s="2028">
        <f>IF($L$306="Rural", MIN($M$320, SUM(P1969:P1971)), 0)</f>
        <v>0</v>
      </c>
      <c r="Q1968" s="1311"/>
      <c r="R1968" s="1311"/>
      <c r="S1968" s="1311"/>
      <c r="T1968" s="1311"/>
      <c r="U1968" s="1311"/>
      <c r="V1968" s="1311"/>
      <c r="W1968" s="1311"/>
      <c r="X1968" s="1311"/>
    </row>
    <row r="1969" spans="1:24">
      <c r="A1969" s="1311"/>
      <c r="B1969" s="2195" t="s">
        <v>1960</v>
      </c>
      <c r="C1969" s="1051" t="s">
        <v>3523</v>
      </c>
      <c r="D1969" s="1311"/>
      <c r="E1969" s="1311"/>
      <c r="F1969" s="1311"/>
      <c r="G1969" s="1311"/>
      <c r="H1969" s="1311"/>
      <c r="I1969" s="1311"/>
      <c r="J1969" s="1311"/>
      <c r="K1969" s="1785" t="str">
        <f>IF(OR(AND(O1969&gt;0,O1971&gt;0), AND(O1970&gt;0,O1971&gt;0), AND(O1969&gt;0,O1970&gt;0)),"Choose option 1 or 2 or 3!!!","")</f>
        <v/>
      </c>
      <c r="L1969" s="1785"/>
      <c r="M1969" s="1955">
        <v>4</v>
      </c>
      <c r="N1969" s="2184" t="s">
        <v>1960</v>
      </c>
      <c r="O1969" s="2028">
        <f>'Part IX Scoring Criteria'!O321</f>
        <v>0</v>
      </c>
      <c r="P1969" s="2028"/>
      <c r="Q1969" s="2121" t="str">
        <f>IF(OR($O1969=$M1969,$O1969=0,$O1969=""),"","*CHECK!*")</f>
        <v/>
      </c>
      <c r="R1969" s="1828" t="s">
        <v>2667</v>
      </c>
      <c r="S1969" s="1311"/>
      <c r="T1969" s="1311"/>
      <c r="U1969" s="1311"/>
      <c r="V1969" s="1311"/>
      <c r="W1969" s="1311"/>
      <c r="X1969" s="1311"/>
    </row>
    <row r="1970" spans="1:24">
      <c r="A1970" s="1314"/>
      <c r="B1970" s="2215" t="s">
        <v>1962</v>
      </c>
      <c r="C1970" s="457" t="s">
        <v>4796</v>
      </c>
      <c r="D1970" s="1311"/>
      <c r="E1970" s="1311"/>
      <c r="F1970" s="1311"/>
      <c r="G1970" s="2009"/>
      <c r="H1970" s="2010"/>
      <c r="I1970" s="2009"/>
      <c r="K1970" s="1785"/>
      <c r="L1970" s="1785"/>
      <c r="M1970" s="1953">
        <v>3</v>
      </c>
      <c r="N1970" s="2184" t="s">
        <v>1962</v>
      </c>
      <c r="O1970" s="2028">
        <f>'Part IX Scoring Criteria'!O322</f>
        <v>0</v>
      </c>
      <c r="P1970" s="2028"/>
      <c r="Q1970" s="2121" t="str">
        <f>IF(OR($O1970=$M1970,$O1970=0,$O1970=""),"","*CHECK!*")</f>
        <v/>
      </c>
      <c r="R1970" s="1828" t="s">
        <v>2667</v>
      </c>
    </row>
    <row r="1971" spans="1:24">
      <c r="A1971" s="1314"/>
      <c r="B1971" s="2215" t="s">
        <v>2501</v>
      </c>
      <c r="C1971" s="1051" t="s">
        <v>4797</v>
      </c>
      <c r="D1971" s="1311"/>
      <c r="E1971" s="1311"/>
      <c r="F1971" s="1311"/>
      <c r="G1971" s="2009"/>
      <c r="H1971" s="2010"/>
      <c r="I1971" s="2009"/>
      <c r="K1971" s="1785"/>
      <c r="L1971" s="1785"/>
      <c r="M1971" s="1953">
        <v>2</v>
      </c>
      <c r="N1971" s="2184" t="s">
        <v>2501</v>
      </c>
      <c r="O1971" s="2028">
        <f>'Part IX Scoring Criteria'!O323</f>
        <v>0</v>
      </c>
      <c r="P1971" s="2028"/>
      <c r="Q1971" s="2121" t="str">
        <f>IF(OR($O1971=$M1971,$O1971=0,$O1971=""),"","*CHECK!*")</f>
        <v/>
      </c>
      <c r="R1971" s="1828" t="s">
        <v>2667</v>
      </c>
    </row>
    <row r="1972" spans="1:24" ht="14.4">
      <c r="A1972" s="1311"/>
      <c r="B1972" s="1997" t="s">
        <v>3645</v>
      </c>
      <c r="C1972" s="1311"/>
      <c r="D1972" s="1957"/>
      <c r="E1972" s="1957"/>
      <c r="F1972" s="1957"/>
      <c r="G1972" s="1957"/>
      <c r="H1972" s="457"/>
      <c r="I1972" s="457"/>
      <c r="J1972" s="457"/>
      <c r="K1972" s="457"/>
      <c r="L1972" s="1315"/>
      <c r="M1972" s="1955"/>
      <c r="N1972" s="1953"/>
      <c r="O1972" s="2028"/>
      <c r="P1972" s="1953"/>
      <c r="Q1972" s="1315"/>
      <c r="R1972" s="1315"/>
      <c r="S1972" s="1315"/>
      <c r="T1972" s="1315"/>
      <c r="U1972" s="1315"/>
      <c r="V1972" s="1315"/>
      <c r="W1972" s="1315"/>
      <c r="X1972" s="1315"/>
    </row>
    <row r="1973" spans="1:24" ht="122.4">
      <c r="A1973" s="2064" t="str">
        <f>'Part IX Scoring Criteria'!A325</f>
        <v xml:space="preserve">Haven at South Atlanta is not within a 1-mile radius of a 9% development that has received an award in the last 6 funding cycles. </v>
      </c>
      <c r="B1973" s="2064"/>
      <c r="C1973" s="2064"/>
      <c r="D1973" s="2064"/>
      <c r="E1973" s="2064"/>
      <c r="F1973" s="2064"/>
      <c r="G1973" s="2064"/>
      <c r="H1973" s="2064"/>
      <c r="I1973" s="2064"/>
      <c r="J1973" s="2064"/>
      <c r="K1973" s="2064"/>
      <c r="L1973" s="2064"/>
      <c r="M1973" s="2064"/>
      <c r="N1973" s="2064"/>
      <c r="O1973" s="2064"/>
      <c r="P1973" s="2064"/>
      <c r="Q1973" s="2065" t="s">
        <v>1239</v>
      </c>
      <c r="R1973" s="1315"/>
      <c r="S1973" s="1315"/>
      <c r="T1973" s="1315"/>
      <c r="U1973" s="1315"/>
      <c r="V1973" s="1315"/>
      <c r="W1973" s="1315"/>
      <c r="X1973" s="1315"/>
    </row>
    <row r="1974" spans="1:24" ht="14.4">
      <c r="A1974" s="1315"/>
      <c r="B1974" s="2066" t="s">
        <v>1841</v>
      </c>
      <c r="C1974" s="1311"/>
      <c r="D1974" s="2066"/>
      <c r="E1974" s="2068"/>
      <c r="F1974" s="2068"/>
      <c r="G1974" s="2068"/>
      <c r="H1974" s="2068"/>
      <c r="I1974" s="2068"/>
      <c r="J1974" s="2068"/>
      <c r="K1974" s="2068"/>
      <c r="L1974" s="2068"/>
      <c r="M1974" s="2068"/>
      <c r="N1974" s="2144"/>
      <c r="O1974" s="2144"/>
      <c r="P1974" s="1955"/>
      <c r="Q1974" s="2123"/>
      <c r="R1974" s="1315"/>
      <c r="S1974" s="1315"/>
      <c r="T1974" s="1315"/>
      <c r="U1974" s="1315"/>
      <c r="V1974" s="1315"/>
      <c r="W1974" s="1315"/>
      <c r="X1974" s="1315"/>
    </row>
    <row r="1975" spans="1:24" ht="15">
      <c r="A1975" s="2064"/>
      <c r="B1975" s="2064"/>
      <c r="C1975" s="2064"/>
      <c r="D1975" s="2064"/>
      <c r="E1975" s="2064"/>
      <c r="F1975" s="2064"/>
      <c r="G1975" s="2064"/>
      <c r="H1975" s="2064"/>
      <c r="I1975" s="2064"/>
      <c r="J1975" s="2064"/>
      <c r="K1975" s="2064"/>
      <c r="L1975" s="2064"/>
      <c r="M1975" s="2064"/>
      <c r="N1975" s="2064"/>
      <c r="O1975" s="2064"/>
      <c r="P1975" s="2064"/>
      <c r="Q1975" s="2065"/>
      <c r="R1975" s="1315"/>
      <c r="S1975" s="1315"/>
      <c r="T1975" s="1315"/>
      <c r="U1975" s="1315"/>
      <c r="V1975" s="1315"/>
      <c r="W1975" s="1315"/>
      <c r="X1975" s="1315"/>
    </row>
    <row r="1976" spans="1:24" ht="18">
      <c r="N1976" s="1953"/>
      <c r="O1976" s="1953"/>
      <c r="P1976" s="1953"/>
      <c r="T1976" s="2146"/>
      <c r="U1976" s="2146"/>
    </row>
    <row r="1977" spans="1:24" ht="18">
      <c r="A1977" s="2159" t="s">
        <v>361</v>
      </c>
      <c r="B1977" s="1995" t="s">
        <v>2775</v>
      </c>
      <c r="C1977" s="1315"/>
      <c r="D1977" s="2180"/>
      <c r="E1977" s="2180"/>
      <c r="F1977" s="2180"/>
      <c r="G1977" s="1315"/>
      <c r="H1977" s="2010" t="s">
        <v>396</v>
      </c>
      <c r="I1977" s="1315"/>
      <c r="J1977" s="1315"/>
      <c r="K1977" s="1957"/>
      <c r="L1977" s="1315"/>
      <c r="M1977" s="1955">
        <v>4</v>
      </c>
      <c r="N1977" s="1955"/>
      <c r="O1977" s="2028">
        <f>'Part IX Scoring Criteria'!O329</f>
        <v>4</v>
      </c>
      <c r="P1977" s="2028">
        <f>IF(AND(P1978&gt;0,P1982&gt;0),"AorB?",MIN($M1977,SUM(P1978,P1982,P1984)))</f>
        <v>0</v>
      </c>
      <c r="Q1977" s="1955" t="s">
        <v>437</v>
      </c>
      <c r="R1977" s="1315"/>
      <c r="S1977" s="1315"/>
      <c r="T1977" s="2146"/>
      <c r="U1977" s="2146"/>
      <c r="V1977" s="1315"/>
      <c r="W1977" s="1315"/>
      <c r="X1977" s="1315"/>
    </row>
    <row r="1978" spans="1:24" ht="18">
      <c r="A1978" s="1981" t="s">
        <v>1957</v>
      </c>
      <c r="B1978" s="1957" t="s">
        <v>2205</v>
      </c>
      <c r="C1978" s="2122"/>
      <c r="D1978" s="2010"/>
      <c r="E1978" s="2010"/>
      <c r="F1978" s="2131"/>
      <c r="H1978" s="2122"/>
      <c r="I1978" s="2122"/>
      <c r="J1978" s="2122"/>
      <c r="K1978" s="2122"/>
      <c r="L1978" s="2142"/>
      <c r="M1978" s="1955">
        <v>3</v>
      </c>
      <c r="N1978" s="2098" t="s">
        <v>1957</v>
      </c>
      <c r="O1978" s="2028">
        <f>'Part IX Scoring Criteria'!O330</f>
        <v>3</v>
      </c>
      <c r="P1978" s="2028">
        <f>IF(OR(AND(P1979="Yes",P1980="Yes",P1981="Yes"),AND(P1979="Yes",P1981="Yes"),AND(P1980="Yes",P1981="Yes"),AND(P1979="Yes",P1980="Yes")),"choose",IF(P1979="Yes",$M$331,IF(P1980="Yes",$M$332, IF(P1981="Yes",$M$333,0))))</f>
        <v>0</v>
      </c>
      <c r="Q1978" s="2121"/>
      <c r="R1978" s="1828"/>
      <c r="S1978" s="2122"/>
      <c r="T1978" s="2146"/>
      <c r="U1978" s="2146"/>
      <c r="V1978" s="2122"/>
      <c r="W1978" s="2122"/>
      <c r="X1978" s="2122"/>
    </row>
    <row r="1979" spans="1:24" ht="18">
      <c r="A1979" s="1981"/>
      <c r="B1979" s="2195" t="s">
        <v>1960</v>
      </c>
      <c r="C1979" s="2009" t="s">
        <v>4544</v>
      </c>
      <c r="D1979" s="2010"/>
      <c r="E1979" s="2010"/>
      <c r="F1979" s="2131"/>
      <c r="H1979" s="2122"/>
      <c r="I1979" s="2122"/>
      <c r="J1979" s="2122"/>
      <c r="K1979" s="2122"/>
      <c r="L1979" s="2142"/>
      <c r="M1979" s="1955">
        <v>3</v>
      </c>
      <c r="N1979" s="2184" t="s">
        <v>1960</v>
      </c>
      <c r="O1979" s="1314" t="str">
        <f>'Part IX Scoring Criteria'!O331</f>
        <v>Yes</v>
      </c>
      <c r="P1979" s="1314"/>
      <c r="Q1979" s="2121"/>
      <c r="R1979" s="1828"/>
      <c r="S1979" s="2122"/>
      <c r="T1979" s="2146"/>
      <c r="U1979" s="2146"/>
      <c r="V1979" s="2122"/>
      <c r="W1979" s="2122"/>
      <c r="X1979" s="2122"/>
    </row>
    <row r="1980" spans="1:24" ht="18">
      <c r="A1980" s="1981"/>
      <c r="B1980" s="2215" t="s">
        <v>1962</v>
      </c>
      <c r="C1980" s="2009" t="s">
        <v>4545</v>
      </c>
      <c r="D1980" s="2010"/>
      <c r="E1980" s="2010"/>
      <c r="F1980" s="2131"/>
      <c r="H1980" s="2122"/>
      <c r="I1980" s="2122"/>
      <c r="J1980" s="2122"/>
      <c r="K1980" s="2122"/>
      <c r="L1980" s="2142"/>
      <c r="M1980" s="1955">
        <v>2</v>
      </c>
      <c r="N1980" s="2184" t="s">
        <v>1962</v>
      </c>
      <c r="O1980" s="1314">
        <f>'Part IX Scoring Criteria'!O332</f>
        <v>0</v>
      </c>
      <c r="P1980" s="1314"/>
      <c r="Q1980" s="2121"/>
      <c r="R1980" s="1828"/>
      <c r="S1980" s="2122"/>
      <c r="T1980" s="2146"/>
      <c r="U1980" s="2146"/>
      <c r="V1980" s="2122"/>
      <c r="W1980" s="2122"/>
      <c r="X1980" s="2122"/>
    </row>
    <row r="1981" spans="1:24" ht="18">
      <c r="A1981" s="1981"/>
      <c r="B1981" s="2215" t="s">
        <v>2501</v>
      </c>
      <c r="C1981" s="2009" t="s">
        <v>4546</v>
      </c>
      <c r="D1981" s="2010"/>
      <c r="E1981" s="2010"/>
      <c r="F1981" s="2131"/>
      <c r="H1981" s="2122"/>
      <c r="I1981" s="2122"/>
      <c r="J1981" s="2122"/>
      <c r="K1981" s="2098"/>
      <c r="L1981" s="2122"/>
      <c r="M1981" s="1955">
        <v>1</v>
      </c>
      <c r="N1981" s="2184" t="s">
        <v>2501</v>
      </c>
      <c r="O1981" s="1314">
        <f>'Part IX Scoring Criteria'!O333</f>
        <v>0</v>
      </c>
      <c r="P1981" s="1314"/>
      <c r="Q1981" s="2122"/>
      <c r="R1981" s="2011"/>
      <c r="S1981" s="2122"/>
      <c r="T1981" s="2146"/>
      <c r="U1981" s="2146"/>
      <c r="V1981" s="2122"/>
      <c r="W1981" s="2122"/>
      <c r="X1981" s="2122"/>
    </row>
    <row r="1982" spans="1:24" ht="18">
      <c r="A1982" s="1981" t="s">
        <v>1959</v>
      </c>
      <c r="B1982" s="1957" t="s">
        <v>2206</v>
      </c>
      <c r="C1982" s="1315"/>
      <c r="D1982" s="457"/>
      <c r="E1982" s="1315"/>
      <c r="F1982" s="1315"/>
      <c r="G1982" s="1315"/>
      <c r="H1982" s="1315"/>
      <c r="I1982" s="1315"/>
      <c r="J1982" s="1315"/>
      <c r="K1982" s="457"/>
      <c r="L1982" s="2142" t="str">
        <f>IF(OR($O1982=$M1982,$O1982=0,$O1982=""),"","* * Check Score! * *")</f>
        <v/>
      </c>
      <c r="M1982" s="1955">
        <v>1</v>
      </c>
      <c r="N1982" s="2098" t="s">
        <v>1959</v>
      </c>
      <c r="O1982" s="2028">
        <f>'Part IX Scoring Criteria'!O334</f>
        <v>0</v>
      </c>
      <c r="P1982" s="2028">
        <f>IF(P1983="Yes",$M$334,0)</f>
        <v>0</v>
      </c>
      <c r="Q1982" s="2121" t="str">
        <f>IF(OR($O1982=$M1982,$O1982=0,$O1982=""),"","*CHECK!*")</f>
        <v/>
      </c>
      <c r="R1982" s="1828" t="s">
        <v>2667</v>
      </c>
      <c r="S1982" s="1315"/>
      <c r="T1982" s="2146"/>
      <c r="U1982" s="2146"/>
      <c r="V1982" s="1315"/>
      <c r="W1982" s="1315"/>
      <c r="X1982" s="1315"/>
    </row>
    <row r="1983" spans="1:24" ht="18.75" customHeight="1">
      <c r="A1983" s="2239"/>
      <c r="B1983" s="2031" t="s">
        <v>4548</v>
      </c>
      <c r="C1983" s="2031"/>
      <c r="D1983" s="2031"/>
      <c r="E1983" s="2031"/>
      <c r="F1983" s="2031"/>
      <c r="G1983" s="2031"/>
      <c r="H1983" s="2031"/>
      <c r="I1983" s="2031"/>
      <c r="J1983" s="2031"/>
      <c r="K1983" s="2031"/>
      <c r="L1983" s="2031"/>
      <c r="M1983" s="1955"/>
      <c r="N1983" s="2098"/>
      <c r="O1983" s="2096">
        <f>'Part IX Scoring Criteria'!O335</f>
        <v>0</v>
      </c>
      <c r="P1983" s="2096"/>
      <c r="Q1983" s="2011"/>
      <c r="R1983" s="2142"/>
      <c r="S1983" s="1315"/>
      <c r="T1983" s="2146"/>
      <c r="U1983" s="2146"/>
      <c r="V1983" s="1315"/>
      <c r="W1983" s="1315"/>
      <c r="X1983" s="1315"/>
    </row>
    <row r="1984" spans="1:24" ht="18">
      <c r="A1984" s="1981" t="s">
        <v>738</v>
      </c>
      <c r="B1984" s="1957" t="s">
        <v>4547</v>
      </c>
      <c r="C1984" s="1315"/>
      <c r="D1984" s="457"/>
      <c r="E1984" s="1315"/>
      <c r="F1984" s="1315"/>
      <c r="G1984" s="1315"/>
      <c r="H1984" s="1786"/>
      <c r="I1984" s="1315"/>
      <c r="J1984" s="1315"/>
      <c r="K1984" s="457"/>
      <c r="L1984" s="2142"/>
      <c r="M1984" s="1955">
        <v>1</v>
      </c>
      <c r="N1984" s="2098" t="s">
        <v>738</v>
      </c>
      <c r="O1984" s="2028">
        <f>'Part IX Scoring Criteria'!O336</f>
        <v>1</v>
      </c>
      <c r="P1984" s="2028">
        <f>IF(P1978=0,0,IF(P1985="Yes",$M$336,0))</f>
        <v>0</v>
      </c>
      <c r="Q1984" s="2121" t="str">
        <f>IF(OR($O1984=$M1984,$O1984=0,$O1984=""),"","*CHECK!*")</f>
        <v/>
      </c>
      <c r="R1984" s="1828" t="s">
        <v>2667</v>
      </c>
      <c r="S1984" s="1315"/>
      <c r="T1984" s="2146"/>
      <c r="U1984" s="2146"/>
      <c r="V1984" s="1315"/>
      <c r="W1984" s="1315"/>
      <c r="X1984" s="1315"/>
    </row>
    <row r="1985" spans="1:24" ht="18.75" customHeight="1">
      <c r="A1985" s="1315"/>
      <c r="B1985" s="2064" t="s">
        <v>5105</v>
      </c>
      <c r="C1985" s="2064"/>
      <c r="D1985" s="2064"/>
      <c r="E1985" s="2064"/>
      <c r="F1985" s="2064"/>
      <c r="G1985" s="2064"/>
      <c r="H1985" s="2064"/>
      <c r="I1985" s="2064"/>
      <c r="J1985" s="2064"/>
      <c r="K1985" s="2064"/>
      <c r="L1985" s="2064"/>
      <c r="M1985" s="1955"/>
      <c r="N1985" s="2098"/>
      <c r="O1985" s="2096" t="str">
        <f>'Part IX Scoring Criteria'!O337</f>
        <v>Yes</v>
      </c>
      <c r="P1985" s="2096"/>
      <c r="Q1985" s="2011"/>
      <c r="R1985" s="2142"/>
      <c r="S1985" s="1315"/>
      <c r="T1985" s="2146"/>
      <c r="U1985" s="2146"/>
      <c r="V1985" s="1315"/>
      <c r="W1985" s="1315"/>
      <c r="X1985" s="1315"/>
    </row>
    <row r="1986" spans="1:24" ht="18.75" customHeight="1">
      <c r="A1986" s="1315"/>
      <c r="B1986" s="2064" t="s">
        <v>4700</v>
      </c>
      <c r="C1986" s="2064"/>
      <c r="D1986" s="2064"/>
      <c r="E1986" s="2064"/>
      <c r="F1986" s="2064"/>
      <c r="G1986" s="2064"/>
      <c r="H1986" s="2064"/>
      <c r="I1986" s="2064"/>
      <c r="J1986" s="2064"/>
      <c r="K1986" s="2064"/>
      <c r="L1986" s="2064"/>
      <c r="M1986" s="1955"/>
      <c r="N1986" s="1955"/>
      <c r="O1986" s="1955"/>
      <c r="P1986" s="1955"/>
      <c r="Q1986" s="2011"/>
      <c r="R1986" s="2142"/>
      <c r="S1986" s="1315"/>
      <c r="T1986" s="2146"/>
      <c r="U1986" s="2146"/>
      <c r="V1986" s="1315"/>
      <c r="W1986" s="1315"/>
      <c r="X1986" s="1315"/>
    </row>
    <row r="1987" spans="1:24" ht="14.4">
      <c r="A1987" s="1311"/>
      <c r="B1987" s="2066" t="s">
        <v>1841</v>
      </c>
      <c r="C1987" s="1311"/>
      <c r="D1987" s="2066"/>
      <c r="E1987" s="2068"/>
      <c r="F1987" s="2068"/>
      <c r="G1987" s="2068"/>
      <c r="H1987" s="2068"/>
      <c r="I1987" s="2068"/>
      <c r="J1987" s="2068"/>
      <c r="K1987" s="2068"/>
      <c r="L1987" s="2068"/>
      <c r="M1987" s="2068"/>
      <c r="N1987" s="2144"/>
      <c r="O1987" s="2144"/>
      <c r="P1987" s="1955"/>
      <c r="Q1987" s="2123"/>
      <c r="R1987" s="1315"/>
      <c r="S1987" s="1315"/>
      <c r="T1987" s="1315"/>
      <c r="U1987" s="1315"/>
      <c r="V1987" s="1315"/>
      <c r="W1987" s="1315"/>
      <c r="X1987" s="1315"/>
    </row>
    <row r="1988" spans="1:24" ht="15">
      <c r="A1988" s="2064"/>
      <c r="B1988" s="2064"/>
      <c r="C1988" s="2064"/>
      <c r="D1988" s="2064"/>
      <c r="E1988" s="2064"/>
      <c r="F1988" s="2064"/>
      <c r="G1988" s="2064"/>
      <c r="H1988" s="2064"/>
      <c r="I1988" s="2064"/>
      <c r="J1988" s="2064"/>
      <c r="K1988" s="2064"/>
      <c r="L1988" s="2064"/>
      <c r="M1988" s="2064"/>
      <c r="N1988" s="2064"/>
      <c r="O1988" s="2064"/>
      <c r="P1988" s="2064"/>
      <c r="Q1988" s="2065"/>
      <c r="R1988" s="1315"/>
      <c r="S1988" s="1315"/>
      <c r="T1988" s="1315"/>
      <c r="U1988" s="1315"/>
      <c r="V1988" s="1315"/>
      <c r="W1988" s="1315"/>
      <c r="X1988" s="1315"/>
    </row>
    <row r="1989" spans="1:24" ht="14.4">
      <c r="A1989" s="1311"/>
      <c r="B1989" s="1311"/>
      <c r="C1989" s="2068"/>
      <c r="D1989" s="2068"/>
      <c r="E1989" s="2068"/>
      <c r="F1989" s="2068"/>
      <c r="G1989" s="2068"/>
      <c r="H1989" s="2068"/>
      <c r="I1989" s="2068"/>
      <c r="J1989" s="2068"/>
      <c r="K1989" s="2068"/>
      <c r="L1989" s="2068"/>
      <c r="M1989" s="2068"/>
      <c r="N1989" s="2144"/>
      <c r="O1989" s="2144"/>
      <c r="P1989" s="1955"/>
      <c r="Q1989" s="1315"/>
      <c r="R1989" s="1315"/>
      <c r="S1989" s="1315"/>
      <c r="T1989" s="1315"/>
      <c r="U1989" s="1315"/>
      <c r="V1989" s="1315"/>
      <c r="W1989" s="1315"/>
      <c r="X1989" s="1315"/>
    </row>
    <row r="1990" spans="1:24" ht="14.4">
      <c r="A1990" s="2239" t="s">
        <v>1705</v>
      </c>
      <c r="B1990" s="1995" t="s">
        <v>3877</v>
      </c>
      <c r="C1990" s="2025"/>
      <c r="D1990" s="2025"/>
      <c r="E1990" s="457"/>
      <c r="F1990" s="1315"/>
      <c r="G1990" s="1051"/>
      <c r="H1990" s="1315"/>
      <c r="I1990" s="1315"/>
      <c r="J1990" s="1315"/>
      <c r="K1990" s="1315"/>
      <c r="L1990" s="1315"/>
      <c r="M1990" s="1955">
        <v>2</v>
      </c>
      <c r="N1990" s="1955"/>
      <c r="O1990" s="1955"/>
      <c r="P1990" s="1955">
        <f>P1991+P1999</f>
        <v>0</v>
      </c>
      <c r="Q1990" s="1955" t="s">
        <v>437</v>
      </c>
      <c r="R1990" s="1315"/>
      <c r="S1990" s="1315"/>
      <c r="T1990" s="1315"/>
      <c r="U1990" s="1315"/>
      <c r="V1990" s="1315"/>
      <c r="W1990" s="1315"/>
      <c r="X1990" s="1315"/>
    </row>
    <row r="1991" spans="1:24" ht="14.4">
      <c r="A1991" s="1981" t="s">
        <v>1957</v>
      </c>
      <c r="B1991" s="1957" t="s">
        <v>3878</v>
      </c>
      <c r="C1991" s="2025"/>
      <c r="D1991" s="2025"/>
      <c r="E1991" s="457"/>
      <c r="F1991" s="1315"/>
      <c r="G1991" s="2008">
        <f>'Part VIII-Threshold Criteria'!I2009</f>
        <v>0</v>
      </c>
      <c r="H1991" s="1315"/>
      <c r="I1991" s="1315"/>
      <c r="J1991" s="2009" t="s">
        <v>2649</v>
      </c>
      <c r="K1991" s="1315"/>
      <c r="L1991" s="457"/>
      <c r="M1991" s="1315"/>
      <c r="N1991" s="2098" t="s">
        <v>1957</v>
      </c>
      <c r="O1991" s="1958" t="str">
        <f>'Part I-Project Information'!$H$100</f>
        <v>No</v>
      </c>
      <c r="P1991" s="1955"/>
      <c r="Q1991" s="1955"/>
      <c r="R1991" s="1828" t="s">
        <v>2667</v>
      </c>
      <c r="S1991" s="1315"/>
      <c r="T1991" s="1315"/>
      <c r="U1991" s="1315"/>
      <c r="V1991" s="1315"/>
      <c r="W1991" s="1315"/>
      <c r="X1991" s="1315"/>
    </row>
    <row r="1992" spans="1:24" ht="14.4">
      <c r="A1992" s="1981"/>
      <c r="B1992" s="2184" t="s">
        <v>1960</v>
      </c>
      <c r="C1992" s="457" t="s">
        <v>4619</v>
      </c>
      <c r="D1992" s="1311"/>
      <c r="E1992" s="2122"/>
      <c r="F1992" s="2122"/>
      <c r="G1992" s="2122"/>
      <c r="H1992" s="2122"/>
      <c r="I1992" s="2122"/>
      <c r="J1992" s="2122"/>
      <c r="K1992" s="2122"/>
      <c r="L1992" s="2122"/>
      <c r="M1992" s="2122"/>
      <c r="N1992" s="2184" t="s">
        <v>4621</v>
      </c>
      <c r="O1992" s="1314">
        <f>'Part IX Scoring Criteria'!O344</f>
        <v>0</v>
      </c>
      <c r="P1992" s="1314"/>
      <c r="Q1992" s="2122"/>
      <c r="R1992" s="2142"/>
      <c r="S1992" s="2122"/>
      <c r="T1992" s="2122"/>
      <c r="U1992" s="2122"/>
      <c r="V1992" s="2122"/>
      <c r="W1992" s="2122"/>
      <c r="X1992" s="2122"/>
    </row>
    <row r="1993" spans="1:24" ht="14.4">
      <c r="A1993" s="1981"/>
      <c r="B1993" s="2184"/>
      <c r="C1993" s="457" t="s">
        <v>4620</v>
      </c>
      <c r="D1993" s="1311"/>
      <c r="E1993" s="2122"/>
      <c r="F1993" s="2122"/>
      <c r="G1993" s="2122"/>
      <c r="H1993" s="2122"/>
      <c r="I1993" s="2122"/>
      <c r="J1993" s="2122"/>
      <c r="K1993" s="2122"/>
      <c r="L1993" s="2122"/>
      <c r="M1993" s="2122"/>
      <c r="N1993" s="2184" t="s">
        <v>4622</v>
      </c>
      <c r="O1993" s="1314">
        <f>'Part IX Scoring Criteria'!O345</f>
        <v>0</v>
      </c>
      <c r="P1993" s="1314"/>
      <c r="Q1993" s="2122"/>
      <c r="R1993" s="2142"/>
      <c r="S1993" s="2122"/>
      <c r="T1993" s="2122"/>
      <c r="U1993" s="2122"/>
      <c r="V1993" s="2122"/>
      <c r="W1993" s="2122"/>
      <c r="X1993" s="2122"/>
    </row>
    <row r="1994" spans="1:24" ht="14.4">
      <c r="A1994" s="1981"/>
      <c r="B1994" s="2184" t="s">
        <v>1962</v>
      </c>
      <c r="C1994" s="457" t="s">
        <v>3887</v>
      </c>
      <c r="D1994" s="1311"/>
      <c r="E1994" s="2122"/>
      <c r="F1994" s="2122"/>
      <c r="G1994" s="2122"/>
      <c r="H1994" s="2122"/>
      <c r="I1994" s="2122"/>
      <c r="J1994" s="2122"/>
      <c r="K1994" s="2122"/>
      <c r="L1994" s="2122"/>
      <c r="M1994" s="2122"/>
      <c r="N1994" s="2184" t="s">
        <v>1962</v>
      </c>
      <c r="O1994" s="1314">
        <f>'Part IX Scoring Criteria'!O346</f>
        <v>0</v>
      </c>
      <c r="P1994" s="1314"/>
      <c r="Q1994" s="2122"/>
      <c r="R1994" s="2142"/>
      <c r="S1994" s="2122"/>
      <c r="T1994" s="2122"/>
      <c r="U1994" s="2122"/>
      <c r="V1994" s="2122"/>
      <c r="W1994" s="2122"/>
      <c r="X1994" s="2122"/>
    </row>
    <row r="1995" spans="1:24" ht="14.4">
      <c r="A1995" s="1981"/>
      <c r="B1995" s="2184" t="s">
        <v>2501</v>
      </c>
      <c r="C1995" s="457" t="s">
        <v>4623</v>
      </c>
      <c r="D1995" s="1311"/>
      <c r="E1995" s="2122"/>
      <c r="F1995" s="2122"/>
      <c r="G1995" s="2122"/>
      <c r="H1995" s="2122"/>
      <c r="I1995" s="2122"/>
      <c r="J1995" s="2122"/>
      <c r="K1995" s="2122"/>
      <c r="L1995" s="2122"/>
      <c r="M1995" s="2122"/>
      <c r="N1995" s="2184" t="s">
        <v>2501</v>
      </c>
      <c r="O1995" s="1314">
        <f>'Part IX Scoring Criteria'!O347</f>
        <v>0</v>
      </c>
      <c r="P1995" s="1314"/>
      <c r="Q1995" s="2122"/>
      <c r="R1995" s="2142"/>
      <c r="S1995" s="2122"/>
      <c r="T1995" s="2122"/>
      <c r="U1995" s="2122"/>
      <c r="V1995" s="2122"/>
      <c r="W1995" s="2122"/>
      <c r="X1995" s="2122"/>
    </row>
    <row r="1996" spans="1:24" ht="14.4">
      <c r="A1996" s="2122"/>
      <c r="B1996" s="2184" t="s">
        <v>1209</v>
      </c>
      <c r="C1996" s="457" t="s">
        <v>4549</v>
      </c>
      <c r="D1996" s="1311"/>
      <c r="E1996" s="2122"/>
      <c r="F1996" s="2122"/>
      <c r="G1996" s="2122"/>
      <c r="H1996" s="2122"/>
      <c r="I1996" s="2122"/>
      <c r="J1996" s="2122"/>
      <c r="K1996" s="2122"/>
      <c r="L1996" s="2122"/>
      <c r="M1996" s="2122"/>
      <c r="N1996" s="2184" t="s">
        <v>1209</v>
      </c>
      <c r="O1996" s="1314">
        <f>'Part IX Scoring Criteria'!O348</f>
        <v>0</v>
      </c>
      <c r="P1996" s="1314"/>
      <c r="Q1996" s="2122"/>
      <c r="R1996" s="2142"/>
      <c r="S1996" s="2122"/>
      <c r="T1996" s="2122"/>
      <c r="U1996" s="2122"/>
      <c r="V1996" s="2122"/>
      <c r="W1996" s="2122"/>
      <c r="X1996" s="2122"/>
    </row>
    <row r="1997" spans="1:24" ht="14.4">
      <c r="A1997" s="1981"/>
      <c r="B1997" s="2184" t="s">
        <v>1210</v>
      </c>
      <c r="C1997" s="457" t="s">
        <v>4550</v>
      </c>
      <c r="D1997" s="1311"/>
      <c r="E1997" s="2122"/>
      <c r="F1997" s="2122"/>
      <c r="G1997" s="2122"/>
      <c r="H1997" s="2122"/>
      <c r="I1997" s="2122"/>
      <c r="J1997" s="2122"/>
      <c r="K1997" s="2122"/>
      <c r="L1997" s="2122"/>
      <c r="M1997" s="2122"/>
      <c r="N1997" s="2184" t="s">
        <v>1210</v>
      </c>
      <c r="O1997" s="1314">
        <f>'Part IX Scoring Criteria'!O349</f>
        <v>0</v>
      </c>
      <c r="P1997" s="1314"/>
      <c r="Q1997" s="2122"/>
      <c r="R1997" s="2142"/>
      <c r="S1997" s="2122"/>
      <c r="T1997" s="2122"/>
      <c r="U1997" s="2122"/>
      <c r="V1997" s="2122"/>
      <c r="W1997" s="2122"/>
      <c r="X1997" s="2122"/>
    </row>
    <row r="1998" spans="1:24" ht="14.4">
      <c r="A1998" s="1981"/>
      <c r="B1998" s="2184" t="s">
        <v>1855</v>
      </c>
      <c r="C1998" s="457" t="s">
        <v>3888</v>
      </c>
      <c r="D1998" s="1311"/>
      <c r="E1998" s="2122"/>
      <c r="F1998" s="2122"/>
      <c r="G1998" s="2122"/>
      <c r="H1998" s="2122"/>
      <c r="I1998" s="2122"/>
      <c r="J1998" s="2122"/>
      <c r="K1998" s="2122"/>
      <c r="L1998" s="2122"/>
      <c r="M1998" s="2122"/>
      <c r="N1998" s="2184" t="s">
        <v>1855</v>
      </c>
      <c r="O1998" s="1314">
        <f>'Part IX Scoring Criteria'!O350</f>
        <v>0</v>
      </c>
      <c r="P1998" s="1314"/>
      <c r="Q1998" s="2122"/>
      <c r="R1998" s="2142"/>
      <c r="S1998" s="2122"/>
      <c r="T1998" s="2122"/>
      <c r="U1998" s="2122"/>
      <c r="V1998" s="2122"/>
      <c r="W1998" s="2122"/>
      <c r="X1998" s="2122"/>
    </row>
    <row r="1999" spans="1:24" ht="14.4">
      <c r="A1999" s="1981" t="s">
        <v>1959</v>
      </c>
      <c r="B1999" s="1957" t="s">
        <v>3879</v>
      </c>
      <c r="C1999" s="2025"/>
      <c r="D1999" s="2025"/>
      <c r="E1999" s="457"/>
      <c r="F1999" s="1315"/>
      <c r="G1999" s="2008">
        <f>'Part I-Project Information'!D1813</f>
        <v>0</v>
      </c>
      <c r="H1999" s="1315"/>
      <c r="I1999" s="2008"/>
      <c r="J1999" s="1315"/>
      <c r="K1999" s="1315"/>
      <c r="L1999" s="2097"/>
      <c r="M1999" s="2097"/>
      <c r="N1999" s="2098" t="s">
        <v>1959</v>
      </c>
      <c r="O1999" s="1315"/>
      <c r="P1999" s="1955"/>
      <c r="Q1999" s="1955"/>
      <c r="R1999" s="1828" t="s">
        <v>2667</v>
      </c>
      <c r="S1999" s="1315"/>
      <c r="T1999" s="1315"/>
      <c r="U1999" s="1315"/>
      <c r="V1999" s="1315"/>
      <c r="W1999" s="1315"/>
      <c r="X1999" s="1315"/>
    </row>
    <row r="2000" spans="1:24" ht="14.4">
      <c r="A2000" s="2239"/>
      <c r="B2000" s="2184" t="s">
        <v>1960</v>
      </c>
      <c r="C2000" s="457" t="s">
        <v>4619</v>
      </c>
      <c r="D2000" s="457"/>
      <c r="E2000" s="457"/>
      <c r="F2000" s="2122"/>
      <c r="G2000" s="2122"/>
      <c r="H2000" s="2122"/>
      <c r="I2000" s="2122"/>
      <c r="J2000" s="2122"/>
      <c r="K2000" s="2122"/>
      <c r="L2000" s="2122"/>
      <c r="M2000" s="1955"/>
      <c r="N2000" s="2184" t="s">
        <v>4621</v>
      </c>
      <c r="O2000" s="1314">
        <f>'Part IX Scoring Criteria'!O352</f>
        <v>0</v>
      </c>
      <c r="P2000" s="1314"/>
      <c r="Q2000" s="1955"/>
      <c r="R2000" s="2122"/>
      <c r="S2000" s="2122"/>
      <c r="T2000" s="2122"/>
      <c r="U2000" s="2122"/>
      <c r="V2000" s="2122"/>
      <c r="W2000" s="2122"/>
      <c r="X2000" s="2122"/>
    </row>
    <row r="2001" spans="1:24" ht="14.4">
      <c r="A2001" s="1981"/>
      <c r="B2001" s="2184"/>
      <c r="C2001" s="457" t="s">
        <v>4624</v>
      </c>
      <c r="D2001" s="1311"/>
      <c r="E2001" s="2122"/>
      <c r="F2001" s="2122"/>
      <c r="G2001" s="2122"/>
      <c r="H2001" s="2122"/>
      <c r="I2001" s="2122"/>
      <c r="J2001" s="2122"/>
      <c r="K2001" s="2122"/>
      <c r="L2001" s="2122"/>
      <c r="M2001" s="2122"/>
      <c r="N2001" s="2184" t="s">
        <v>4622</v>
      </c>
      <c r="O2001" s="1314">
        <f>'Part IX Scoring Criteria'!O353</f>
        <v>0</v>
      </c>
      <c r="P2001" s="1314"/>
      <c r="Q2001" s="2122"/>
      <c r="R2001" s="2142"/>
      <c r="S2001" s="2122"/>
      <c r="T2001" s="2122"/>
      <c r="U2001" s="2122"/>
      <c r="V2001" s="2122"/>
      <c r="W2001" s="2122"/>
      <c r="X2001" s="2122"/>
    </row>
    <row r="2002" spans="1:24" ht="14.4">
      <c r="A2002" s="1981"/>
      <c r="B2002" s="2184" t="s">
        <v>1962</v>
      </c>
      <c r="C2002" s="457" t="s">
        <v>3900</v>
      </c>
      <c r="D2002" s="1311"/>
      <c r="E2002" s="2122"/>
      <c r="F2002" s="2122"/>
      <c r="G2002" s="2122"/>
      <c r="H2002" s="2122"/>
      <c r="I2002" s="2122"/>
      <c r="J2002" s="2122"/>
      <c r="K2002" s="2122"/>
      <c r="L2002" s="2122"/>
      <c r="M2002" s="2122"/>
      <c r="N2002" s="2184" t="s">
        <v>1962</v>
      </c>
      <c r="O2002" s="1314">
        <f>'Part IX Scoring Criteria'!O354</f>
        <v>0</v>
      </c>
      <c r="P2002" s="1314"/>
      <c r="Q2002" s="2122"/>
      <c r="R2002" s="2142"/>
      <c r="S2002" s="2122"/>
      <c r="T2002" s="2122"/>
      <c r="U2002" s="2122"/>
      <c r="V2002" s="2122"/>
      <c r="W2002" s="2122"/>
      <c r="X2002" s="2122"/>
    </row>
    <row r="2003" spans="1:24" ht="14.4">
      <c r="A2003" s="2122"/>
      <c r="B2003" s="2184" t="s">
        <v>2501</v>
      </c>
      <c r="C2003" s="457" t="s">
        <v>3888</v>
      </c>
      <c r="D2003" s="1311"/>
      <c r="E2003" s="2122"/>
      <c r="F2003" s="2122"/>
      <c r="G2003" s="2122"/>
      <c r="H2003" s="2122"/>
      <c r="I2003" s="2122"/>
      <c r="J2003" s="2122"/>
      <c r="K2003" s="2122"/>
      <c r="L2003" s="2122"/>
      <c r="M2003" s="2122"/>
      <c r="N2003" s="2184" t="s">
        <v>2501</v>
      </c>
      <c r="O2003" s="1314">
        <f>'Part IX Scoring Criteria'!O355</f>
        <v>0</v>
      </c>
      <c r="P2003" s="1314"/>
      <c r="Q2003" s="2122"/>
      <c r="R2003" s="2142"/>
      <c r="S2003" s="2122"/>
      <c r="T2003" s="2122"/>
      <c r="U2003" s="2122"/>
      <c r="V2003" s="2122"/>
      <c r="W2003" s="2122"/>
      <c r="X2003" s="2122"/>
    </row>
    <row r="2004" spans="1:24" ht="14.4">
      <c r="A2004" s="1315"/>
      <c r="B2004" s="2066" t="s">
        <v>1841</v>
      </c>
      <c r="C2004" s="1311"/>
      <c r="D2004" s="2066"/>
      <c r="E2004" s="2068"/>
      <c r="F2004" s="2068"/>
      <c r="G2004" s="2068"/>
      <c r="H2004" s="2068"/>
      <c r="I2004" s="2068"/>
      <c r="J2004" s="2068"/>
      <c r="K2004" s="2068"/>
      <c r="L2004" s="2068"/>
      <c r="M2004" s="2068"/>
      <c r="N2004" s="2144"/>
      <c r="O2004" s="2144"/>
      <c r="P2004" s="1955"/>
      <c r="Q2004" s="2123"/>
      <c r="R2004" s="1315"/>
      <c r="S2004" s="1315"/>
      <c r="T2004" s="1315"/>
      <c r="U2004" s="1315"/>
      <c r="V2004" s="1315"/>
      <c r="W2004" s="1315"/>
      <c r="X2004" s="1315"/>
    </row>
    <row r="2005" spans="1:24" ht="15">
      <c r="A2005" s="2064"/>
      <c r="B2005" s="2064"/>
      <c r="C2005" s="2064"/>
      <c r="D2005" s="2064"/>
      <c r="E2005" s="2064"/>
      <c r="F2005" s="2064"/>
      <c r="G2005" s="2064"/>
      <c r="H2005" s="2064"/>
      <c r="I2005" s="2064"/>
      <c r="J2005" s="2064"/>
      <c r="K2005" s="2064"/>
      <c r="L2005" s="2064"/>
      <c r="M2005" s="2064"/>
      <c r="N2005" s="2064"/>
      <c r="O2005" s="2064"/>
      <c r="P2005" s="2064"/>
      <c r="Q2005" s="2065"/>
      <c r="R2005" s="1315"/>
      <c r="S2005" s="1315"/>
      <c r="T2005" s="1315"/>
      <c r="U2005" s="1315"/>
      <c r="V2005" s="1315"/>
      <c r="W2005" s="1315"/>
      <c r="X2005" s="1315"/>
    </row>
    <row r="2006" spans="1:24">
      <c r="N2006" s="1953"/>
      <c r="O2006" s="1953"/>
      <c r="P2006" s="1953"/>
    </row>
    <row r="2007" spans="1:24" ht="14.4">
      <c r="A2007" s="2239" t="s">
        <v>2736</v>
      </c>
      <c r="B2007" s="1995" t="s">
        <v>3880</v>
      </c>
      <c r="C2007" s="1315"/>
      <c r="D2007" s="1315"/>
      <c r="E2007" s="1315"/>
      <c r="F2007" s="1315"/>
      <c r="G2007" s="1315"/>
      <c r="H2007" s="2098" t="s">
        <v>3505</v>
      </c>
      <c r="I2007" s="2009" t="str">
        <f>'Part I-Project Information'!$H$105</f>
        <v>Flexible</v>
      </c>
      <c r="J2007" s="2009"/>
      <c r="K2007" s="1315"/>
      <c r="L2007" s="2142" t="str">
        <f>IF(OR($O2007=$M2007,$O2007=0,$O2007=""),"","* * Check Score! * *")</f>
        <v/>
      </c>
      <c r="M2007" s="1955">
        <v>1</v>
      </c>
      <c r="N2007" s="2240"/>
      <c r="O2007" s="1955">
        <f>'Part IX Scoring Criteria'!O359</f>
        <v>1</v>
      </c>
      <c r="P2007" s="1955"/>
      <c r="Q2007" s="1955" t="s">
        <v>437</v>
      </c>
      <c r="R2007" s="1315"/>
      <c r="S2007" s="1315"/>
      <c r="T2007" s="1315"/>
      <c r="U2007" s="1315"/>
      <c r="V2007" s="1315"/>
      <c r="W2007" s="1315"/>
      <c r="X2007" s="1315"/>
    </row>
    <row r="2008" spans="1:24" ht="14.4">
      <c r="A2008" s="1315"/>
      <c r="B2008" s="1315"/>
      <c r="C2008" s="2064"/>
      <c r="D2008" s="2064"/>
      <c r="E2008" s="2064"/>
      <c r="F2008" s="2064"/>
      <c r="G2008" s="2064"/>
      <c r="H2008" s="2064"/>
      <c r="I2008" s="2061" t="s">
        <v>4551</v>
      </c>
      <c r="J2008" s="2061"/>
      <c r="K2008" s="2061"/>
      <c r="L2008" s="2061"/>
      <c r="M2008" s="2061"/>
      <c r="N2008" s="2061"/>
      <c r="O2008" s="2061"/>
      <c r="P2008" s="2061"/>
      <c r="Q2008" s="1315"/>
      <c r="R2008" s="2142"/>
      <c r="S2008" s="1315"/>
      <c r="T2008" s="1315"/>
      <c r="U2008" s="1315"/>
      <c r="V2008" s="1315"/>
      <c r="W2008" s="1315"/>
      <c r="X2008" s="1315"/>
    </row>
    <row r="2009" spans="1:24" ht="15" customHeight="1">
      <c r="A2009" s="2064"/>
      <c r="B2009" s="2064" t="s">
        <v>4798</v>
      </c>
      <c r="C2009" s="2064"/>
      <c r="D2009" s="2064"/>
      <c r="E2009" s="2064"/>
      <c r="F2009" s="2064"/>
      <c r="G2009" s="2064"/>
      <c r="H2009" s="2064"/>
      <c r="I2009" s="457" t="str">
        <f>'Part IX Scoring Criteria'!I361</f>
        <v>WR Redevelopment Phase II</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315"/>
      <c r="R2009" s="2142"/>
      <c r="S2009" s="1315"/>
      <c r="T2009" s="1315"/>
      <c r="U2009" s="1315"/>
      <c r="V2009" s="1315"/>
      <c r="W2009" s="1315"/>
      <c r="X2009" s="1315"/>
    </row>
    <row r="2010" spans="1:24" ht="14.4">
      <c r="A2010" s="2064"/>
      <c r="B2010" s="2064"/>
      <c r="C2010" s="2064"/>
      <c r="D2010" s="2064"/>
      <c r="E2010" s="2064"/>
      <c r="F2010" s="2064"/>
      <c r="G2010" s="2064"/>
      <c r="H2010" s="2064"/>
      <c r="I2010" s="457" t="str">
        <f>'Part IX Scoring Criteria'!I362</f>
        <v>River Pointe II</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315"/>
      <c r="R2010" s="2142"/>
      <c r="S2010" s="1315"/>
      <c r="T2010" s="1315"/>
      <c r="U2010" s="1315"/>
      <c r="V2010" s="1315"/>
      <c r="W2010" s="1315"/>
      <c r="X2010" s="1315"/>
    </row>
    <row r="2011" spans="1:24" ht="14.4">
      <c r="A2011" s="2068"/>
      <c r="B2011" s="2064"/>
      <c r="C2011" s="2064"/>
      <c r="D2011" s="2064"/>
      <c r="E2011" s="2064"/>
      <c r="F2011" s="2064"/>
      <c r="G2011" s="2064"/>
      <c r="H2011" s="2064"/>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315"/>
      <c r="R2011" s="2142"/>
      <c r="S2011" s="1315"/>
      <c r="T2011" s="1315"/>
      <c r="U2011" s="1315"/>
      <c r="V2011" s="1315"/>
      <c r="W2011" s="1315"/>
      <c r="X2011" s="1315"/>
    </row>
    <row r="2012" spans="1:24" ht="14.4">
      <c r="A2012" s="1311"/>
      <c r="B2012" s="1997" t="s">
        <v>3645</v>
      </c>
      <c r="C2012" s="1311"/>
      <c r="D2012" s="1957"/>
      <c r="E2012" s="1957"/>
      <c r="F2012" s="1957"/>
      <c r="G2012" s="1957"/>
      <c r="H2012" s="457"/>
      <c r="I2012" s="457"/>
      <c r="J2012" s="457"/>
      <c r="K2012" s="457"/>
      <c r="L2012" s="2122"/>
      <c r="M2012" s="1955"/>
      <c r="N2012" s="1955"/>
      <c r="O2012" s="2028"/>
      <c r="P2012" s="1955"/>
      <c r="Q2012" s="2122"/>
      <c r="R2012" s="2122"/>
      <c r="S2012" s="2122"/>
      <c r="T2012" s="2122"/>
      <c r="U2012" s="2122"/>
      <c r="V2012" s="2122"/>
      <c r="W2012" s="2122"/>
      <c r="X2012" s="2122"/>
    </row>
    <row r="2013" spans="1:24" ht="91.8">
      <c r="A2013" s="2064" t="str">
        <f>'Part IX Scoring Criteria'!A365</f>
        <v>The applicant has chosen to claim the 1 priority point for this application (Haven at South Atlanta).</v>
      </c>
      <c r="B2013" s="2064"/>
      <c r="C2013" s="2064"/>
      <c r="D2013" s="2064"/>
      <c r="E2013" s="2064"/>
      <c r="F2013" s="2064"/>
      <c r="G2013" s="2064"/>
      <c r="H2013" s="2064"/>
      <c r="I2013" s="2064"/>
      <c r="J2013" s="2064"/>
      <c r="K2013" s="2064"/>
      <c r="L2013" s="2064"/>
      <c r="M2013" s="2064"/>
      <c r="N2013" s="2064"/>
      <c r="O2013" s="2064"/>
      <c r="P2013" s="2064"/>
      <c r="Q2013" s="2065" t="s">
        <v>1239</v>
      </c>
      <c r="R2013" s="1315"/>
      <c r="S2013" s="1315"/>
      <c r="T2013" s="1315"/>
      <c r="U2013" s="1315"/>
      <c r="V2013" s="1315"/>
      <c r="W2013" s="1315"/>
      <c r="X2013" s="1315"/>
    </row>
    <row r="2014" spans="1:24" ht="14.4">
      <c r="A2014" s="1311"/>
      <c r="B2014" s="1997" t="s">
        <v>1841</v>
      </c>
      <c r="C2014" s="1311"/>
      <c r="D2014" s="1997"/>
      <c r="E2014" s="1994"/>
      <c r="F2014" s="1994"/>
      <c r="G2014" s="1994"/>
      <c r="H2014" s="1994"/>
      <c r="I2014" s="1994"/>
      <c r="J2014" s="1994"/>
      <c r="K2014" s="1994"/>
      <c r="L2014" s="1994"/>
      <c r="M2014" s="1994"/>
      <c r="N2014" s="1967"/>
      <c r="O2014" s="1967"/>
      <c r="P2014" s="1955"/>
      <c r="Q2014" s="2123"/>
      <c r="R2014" s="2122"/>
      <c r="S2014" s="2122"/>
      <c r="T2014" s="2122"/>
      <c r="U2014" s="2122"/>
      <c r="V2014" s="2122"/>
      <c r="W2014" s="2122"/>
      <c r="X2014" s="2122"/>
    </row>
    <row r="2015" spans="1:24" ht="15">
      <c r="A2015" s="2064"/>
      <c r="B2015" s="2064"/>
      <c r="C2015" s="2064"/>
      <c r="D2015" s="2064"/>
      <c r="E2015" s="2064"/>
      <c r="F2015" s="2064"/>
      <c r="G2015" s="2064"/>
      <c r="H2015" s="2064"/>
      <c r="I2015" s="2064"/>
      <c r="J2015" s="2064"/>
      <c r="K2015" s="2064"/>
      <c r="L2015" s="2064"/>
      <c r="M2015" s="2064"/>
      <c r="N2015" s="2064"/>
      <c r="O2015" s="2064"/>
      <c r="P2015" s="2064"/>
      <c r="Q2015" s="2065"/>
      <c r="R2015" s="1315"/>
      <c r="S2015" s="1315"/>
      <c r="T2015" s="1315"/>
      <c r="U2015" s="1315"/>
      <c r="V2015" s="1315"/>
      <c r="W2015" s="1315"/>
      <c r="X2015" s="1315"/>
    </row>
    <row r="2016" spans="1:24" ht="14.4">
      <c r="A2016" s="1311"/>
      <c r="B2016" s="1315"/>
      <c r="C2016" s="2068"/>
      <c r="D2016" s="2068"/>
      <c r="E2016" s="2068"/>
      <c r="F2016" s="2068"/>
      <c r="G2016" s="2068"/>
      <c r="H2016" s="2068"/>
      <c r="I2016" s="2068"/>
      <c r="J2016" s="2068"/>
      <c r="K2016" s="2068"/>
      <c r="L2016" s="2068"/>
      <c r="M2016" s="2068"/>
      <c r="N2016" s="2144"/>
      <c r="O2016" s="2144"/>
      <c r="P2016" s="1955"/>
      <c r="Q2016" s="1315"/>
      <c r="R2016" s="1315"/>
      <c r="S2016" s="1315"/>
      <c r="T2016" s="1315"/>
      <c r="U2016" s="1315"/>
      <c r="V2016" s="1315"/>
      <c r="W2016" s="1315"/>
      <c r="X2016" s="1315"/>
    </row>
    <row r="2017" spans="1:24" ht="14.4">
      <c r="A2017" s="2159" t="s">
        <v>2223</v>
      </c>
      <c r="B2017" s="1995" t="s">
        <v>1651</v>
      </c>
      <c r="C2017" s="1315"/>
      <c r="D2017" s="2025"/>
      <c r="E2017" s="2025"/>
      <c r="F2017" s="1315"/>
      <c r="G2017" s="457"/>
      <c r="H2017" s="1315"/>
      <c r="I2017" s="457"/>
      <c r="J2017" s="457"/>
      <c r="K2017" s="1315"/>
      <c r="L2017" s="1314"/>
      <c r="M2017" s="1955">
        <v>1</v>
      </c>
      <c r="N2017" s="2240"/>
      <c r="O2017" s="2028">
        <f>'Part IX Scoring Criteria'!O369</f>
        <v>0</v>
      </c>
      <c r="P2017" s="2028">
        <f>IF(AND(NOT($I$370="&lt; Select applicable GICH &gt;"),OR(P2019="Yes",P2020="Yes"),P2022="Yes",P2023="Yes",P2024="Yes"),$M$369,0)</f>
        <v>0</v>
      </c>
      <c r="Q2017" s="1955" t="s">
        <v>437</v>
      </c>
      <c r="R2017" s="1315"/>
      <c r="S2017" s="1315"/>
      <c r="T2017" s="1315"/>
      <c r="U2017" s="1315"/>
      <c r="V2017" s="1315"/>
      <c r="W2017" s="1315"/>
      <c r="X2017" s="1315"/>
    </row>
    <row r="2018" spans="1:24" ht="14.4">
      <c r="A2018" s="1981"/>
      <c r="B2018" s="2009" t="s">
        <v>3526</v>
      </c>
      <c r="C2018" s="1315"/>
      <c r="D2018" s="2025"/>
      <c r="E2018" s="2025"/>
      <c r="F2018" s="1315"/>
      <c r="G2018" s="457"/>
      <c r="H2018" s="1315"/>
      <c r="I2018" s="457" t="str">
        <f>'Part IX Scoring Criteria'!I370</f>
        <v>&lt; Select applicable GICH &gt;</v>
      </c>
      <c r="J2018" s="457">
        <f>'Part IX Scoring Criteria'!J370</f>
        <v>0</v>
      </c>
      <c r="K2018" s="457">
        <f>'Part IX Scoring Criteria'!K370</f>
        <v>0</v>
      </c>
      <c r="L2018" s="457">
        <f>'Part IX Scoring Criteria'!L370</f>
        <v>0</v>
      </c>
      <c r="M2018" s="1955"/>
      <c r="N2018" s="2240"/>
      <c r="O2018" s="1315"/>
      <c r="P2018" s="1315"/>
      <c r="Q2018" s="2121"/>
      <c r="R2018" s="1828" t="s">
        <v>2667</v>
      </c>
      <c r="S2018" s="1315"/>
      <c r="T2018" s="1315"/>
      <c r="U2018" s="1315"/>
      <c r="V2018" s="1315"/>
      <c r="W2018" s="1315"/>
      <c r="X2018" s="1315"/>
    </row>
    <row r="2019" spans="1:24" ht="14.4">
      <c r="A2019" s="1981"/>
      <c r="B2019" s="2184" t="s">
        <v>1960</v>
      </c>
      <c r="C2019" s="1051" t="s">
        <v>4567</v>
      </c>
      <c r="D2019" s="2025"/>
      <c r="E2019" s="1051" t="s">
        <v>4568</v>
      </c>
      <c r="F2019" s="1315"/>
      <c r="G2019" s="457"/>
      <c r="H2019" s="1315"/>
      <c r="I2019" s="457"/>
      <c r="J2019" s="1051"/>
      <c r="K2019" s="1051"/>
      <c r="L2019" s="1051"/>
      <c r="M2019" s="1314"/>
      <c r="N2019" s="2182"/>
      <c r="O2019" s="1314">
        <f>'Part IX Scoring Criteria'!O371</f>
        <v>0</v>
      </c>
      <c r="P2019" s="1314"/>
      <c r="Q2019" s="2241"/>
      <c r="R2019" s="1828"/>
      <c r="S2019" s="1315"/>
      <c r="T2019" s="1315"/>
      <c r="U2019" s="1315"/>
      <c r="V2019" s="1315"/>
      <c r="W2019" s="1315"/>
      <c r="X2019" s="1315"/>
    </row>
    <row r="2020" spans="1:24" ht="14.4">
      <c r="A2020" s="1981"/>
      <c r="B2020" s="1314"/>
      <c r="C2020" s="1051"/>
      <c r="D2020" s="2025"/>
      <c r="E2020" s="2025" t="s">
        <v>4569</v>
      </c>
      <c r="F2020" s="1315"/>
      <c r="G2020" s="457"/>
      <c r="H2020" s="457"/>
      <c r="I2020" s="1051"/>
      <c r="J2020" s="1051"/>
      <c r="K2020" s="1051"/>
      <c r="L2020" s="2182"/>
      <c r="M2020" s="2028">
        <f>'Part IX Scoring Criteria'!M372</f>
        <v>0</v>
      </c>
      <c r="N2020" s="2182"/>
      <c r="O2020" s="1314">
        <f>'Part IX Scoring Criteria'!O372</f>
        <v>0</v>
      </c>
      <c r="P2020" s="1314"/>
      <c r="Q2020" s="2241"/>
      <c r="R2020" s="1828"/>
      <c r="S2020" s="1315"/>
      <c r="T2020" s="1315"/>
      <c r="U2020" s="1315"/>
      <c r="V2020" s="1315"/>
      <c r="W2020" s="1315"/>
      <c r="X2020" s="1315"/>
    </row>
    <row r="2021" spans="1:24" ht="14.4">
      <c r="A2021" s="1315"/>
      <c r="B2021" s="2184" t="s">
        <v>1962</v>
      </c>
      <c r="C2021" s="2009" t="s">
        <v>5106</v>
      </c>
      <c r="D2021" s="2122"/>
      <c r="E2021" s="2025"/>
      <c r="F2021" s="457"/>
      <c r="G2021" s="457"/>
      <c r="H2021" s="1315"/>
      <c r="I2021" s="1315"/>
      <c r="J2021" s="1315"/>
      <c r="K2021" s="1315"/>
      <c r="L2021" s="1315"/>
      <c r="M2021" s="1315"/>
      <c r="N2021" s="2098" t="s">
        <v>1957</v>
      </c>
      <c r="O2021" s="2097" t="s">
        <v>2477</v>
      </c>
      <c r="P2021" s="2097" t="s">
        <v>2477</v>
      </c>
      <c r="Q2021" s="1315"/>
      <c r="R2021" s="1315"/>
      <c r="S2021" s="1315"/>
      <c r="T2021" s="1315"/>
      <c r="U2021" s="1315"/>
      <c r="V2021" s="1315"/>
      <c r="W2021" s="1315"/>
      <c r="X2021" s="1315"/>
    </row>
    <row r="2022" spans="1:24">
      <c r="A2022" s="457"/>
      <c r="B2022" s="2098" t="s">
        <v>2403</v>
      </c>
      <c r="C2022" s="2009" t="s">
        <v>3881</v>
      </c>
      <c r="D2022" s="457"/>
      <c r="E2022" s="457"/>
      <c r="F2022" s="457"/>
      <c r="G2022" s="457"/>
      <c r="H2022" s="457"/>
      <c r="I2022" s="457"/>
      <c r="J2022" s="457"/>
      <c r="K2022" s="457"/>
      <c r="L2022" s="457"/>
      <c r="M2022" s="457"/>
      <c r="N2022" s="2098" t="s">
        <v>2403</v>
      </c>
      <c r="O2022" s="1314">
        <f>'Part IX Scoring Criteria'!O374</f>
        <v>0</v>
      </c>
      <c r="P2022" s="1314"/>
      <c r="Q2022" s="457"/>
      <c r="R2022" s="457"/>
      <c r="S2022" s="457"/>
      <c r="T2022" s="457"/>
      <c r="U2022" s="457"/>
      <c r="V2022" s="457"/>
      <c r="W2022" s="457"/>
      <c r="X2022" s="457"/>
    </row>
    <row r="2023" spans="1:24">
      <c r="A2023" s="457"/>
      <c r="B2023" s="2095" t="s">
        <v>2404</v>
      </c>
      <c r="C2023" s="2009" t="s">
        <v>3882</v>
      </c>
      <c r="D2023" s="457"/>
      <c r="E2023" s="457"/>
      <c r="F2023" s="457"/>
      <c r="G2023" s="457"/>
      <c r="H2023" s="457"/>
      <c r="I2023" s="457"/>
      <c r="J2023" s="457"/>
      <c r="K2023" s="457"/>
      <c r="L2023" s="457"/>
      <c r="M2023" s="457"/>
      <c r="N2023" s="2095" t="s">
        <v>2404</v>
      </c>
      <c r="O2023" s="1314">
        <f>'Part IX Scoring Criteria'!O375</f>
        <v>0</v>
      </c>
      <c r="P2023" s="1314"/>
      <c r="Q2023" s="457"/>
      <c r="R2023" s="457"/>
      <c r="S2023" s="457"/>
      <c r="T2023" s="457"/>
      <c r="U2023" s="457"/>
      <c r="V2023" s="457"/>
      <c r="W2023" s="457"/>
      <c r="X2023" s="457"/>
    </row>
    <row r="2024" spans="1:24">
      <c r="A2024" s="457"/>
      <c r="B2024" s="2098" t="s">
        <v>2405</v>
      </c>
      <c r="C2024" s="2009" t="s">
        <v>4552</v>
      </c>
      <c r="D2024" s="457"/>
      <c r="E2024" s="457"/>
      <c r="F2024" s="457"/>
      <c r="G2024" s="457"/>
      <c r="H2024" s="457"/>
      <c r="I2024" s="457"/>
      <c r="J2024" s="457"/>
      <c r="K2024" s="457"/>
      <c r="L2024" s="457"/>
      <c r="M2024" s="457"/>
      <c r="N2024" s="2098" t="s">
        <v>2405</v>
      </c>
      <c r="O2024" s="1314">
        <f>'Part IX Scoring Criteria'!O376</f>
        <v>0</v>
      </c>
      <c r="P2024" s="1314"/>
      <c r="Q2024" s="457"/>
      <c r="R2024" s="457"/>
      <c r="S2024" s="457"/>
      <c r="T2024" s="457"/>
      <c r="U2024" s="457"/>
      <c r="V2024" s="457"/>
      <c r="W2024" s="457"/>
      <c r="X2024" s="457"/>
    </row>
    <row r="2025" spans="1:24">
      <c r="A2025" s="1051"/>
      <c r="B2025" s="2145" t="s">
        <v>3527</v>
      </c>
      <c r="C2025" s="1051"/>
      <c r="D2025" s="457"/>
      <c r="E2025" s="457"/>
      <c r="F2025" s="457"/>
      <c r="G2025" s="457"/>
      <c r="H2025" s="457"/>
      <c r="I2025" s="457"/>
      <c r="J2025" s="457"/>
      <c r="K2025" s="457"/>
      <c r="L2025" s="457"/>
      <c r="M2025" s="457"/>
      <c r="N2025" s="2098"/>
      <c r="O2025" s="2098"/>
      <c r="P2025" s="2098"/>
      <c r="Q2025" s="1051"/>
      <c r="R2025" s="1051"/>
      <c r="S2025" s="1051"/>
      <c r="T2025" s="1051"/>
      <c r="U2025" s="1051"/>
      <c r="V2025" s="1051"/>
      <c r="W2025" s="1051"/>
      <c r="X2025" s="1051"/>
    </row>
    <row r="2026" spans="1:24">
      <c r="A2026" s="1051"/>
      <c r="B2026" s="2145"/>
      <c r="C2026" s="1051"/>
      <c r="D2026" s="457"/>
      <c r="E2026" s="457"/>
      <c r="F2026" s="457"/>
      <c r="G2026" s="457"/>
      <c r="H2026" s="457"/>
      <c r="I2026" s="457"/>
      <c r="J2026" s="457"/>
      <c r="K2026" s="457"/>
      <c r="L2026" s="457"/>
      <c r="M2026" s="457"/>
      <c r="N2026" s="2098"/>
      <c r="O2026" s="2098"/>
      <c r="P2026" s="2098"/>
      <c r="Q2026" s="1051"/>
      <c r="R2026" s="1051"/>
      <c r="S2026" s="1051"/>
      <c r="T2026" s="1051"/>
      <c r="U2026" s="1051"/>
      <c r="V2026" s="1051"/>
      <c r="W2026" s="1051"/>
      <c r="X2026" s="1051"/>
    </row>
    <row r="2027" spans="1:24" ht="14.4">
      <c r="A2027" s="1311"/>
      <c r="B2027" s="1997" t="s">
        <v>3645</v>
      </c>
      <c r="C2027" s="1311"/>
      <c r="D2027" s="1957"/>
      <c r="E2027" s="1957"/>
      <c r="F2027" s="1957"/>
      <c r="G2027" s="1957"/>
      <c r="H2027" s="457"/>
      <c r="I2027" s="457"/>
      <c r="J2027" s="457"/>
      <c r="K2027" s="457"/>
      <c r="L2027" s="2122"/>
      <c r="M2027" s="1955"/>
      <c r="N2027" s="1955"/>
      <c r="O2027" s="2028"/>
      <c r="P2027" s="1955"/>
      <c r="Q2027" s="2122"/>
      <c r="R2027" s="2122"/>
      <c r="S2027" s="2122"/>
      <c r="T2027" s="2122"/>
      <c r="U2027" s="2122"/>
      <c r="V2027" s="2122"/>
      <c r="W2027" s="2122"/>
      <c r="X2027" s="2122"/>
    </row>
    <row r="2028" spans="1:24" ht="51">
      <c r="A2028" s="2064" t="str">
        <f>'Part IX Scoring Criteria'!A380</f>
        <v>The applicant is not eligible for points in this category.</v>
      </c>
      <c r="B2028" s="2064"/>
      <c r="C2028" s="2064"/>
      <c r="D2028" s="2064"/>
      <c r="E2028" s="2064"/>
      <c r="F2028" s="2064"/>
      <c r="G2028" s="2064"/>
      <c r="H2028" s="2064"/>
      <c r="I2028" s="2064"/>
      <c r="J2028" s="2064"/>
      <c r="K2028" s="2064"/>
      <c r="L2028" s="2064"/>
      <c r="M2028" s="2064"/>
      <c r="N2028" s="2064"/>
      <c r="O2028" s="2064"/>
      <c r="P2028" s="2064"/>
      <c r="Q2028" s="2065" t="s">
        <v>1239</v>
      </c>
      <c r="R2028" s="1315"/>
      <c r="S2028" s="1315"/>
      <c r="T2028" s="1315"/>
      <c r="U2028" s="1315"/>
      <c r="V2028" s="1315"/>
      <c r="W2028" s="1315"/>
      <c r="X2028" s="1315"/>
    </row>
    <row r="2029" spans="1:24" ht="14.4">
      <c r="A2029" s="1311"/>
      <c r="B2029" s="1997" t="s">
        <v>1841</v>
      </c>
      <c r="C2029" s="1311"/>
      <c r="D2029" s="1997"/>
      <c r="E2029" s="1994"/>
      <c r="F2029" s="1994"/>
      <c r="G2029" s="1994"/>
      <c r="H2029" s="1994"/>
      <c r="I2029" s="1994"/>
      <c r="J2029" s="1994"/>
      <c r="K2029" s="1994"/>
      <c r="L2029" s="1994"/>
      <c r="M2029" s="1994"/>
      <c r="N2029" s="1967"/>
      <c r="O2029" s="1967"/>
      <c r="P2029" s="1955"/>
      <c r="Q2029" s="2123"/>
      <c r="R2029" s="2122"/>
      <c r="S2029" s="2122"/>
      <c r="T2029" s="2122"/>
      <c r="U2029" s="2122"/>
      <c r="V2029" s="2122"/>
      <c r="W2029" s="2122"/>
      <c r="X2029" s="2122"/>
    </row>
    <row r="2030" spans="1:24" ht="15">
      <c r="A2030" s="2064"/>
      <c r="B2030" s="2064"/>
      <c r="C2030" s="2064"/>
      <c r="D2030" s="2064"/>
      <c r="E2030" s="2064"/>
      <c r="F2030" s="2064"/>
      <c r="G2030" s="2064"/>
      <c r="H2030" s="2064"/>
      <c r="I2030" s="2064"/>
      <c r="J2030" s="2064"/>
      <c r="K2030" s="2064"/>
      <c r="L2030" s="2064"/>
      <c r="M2030" s="2064"/>
      <c r="N2030" s="2064"/>
      <c r="O2030" s="2064"/>
      <c r="P2030" s="2064"/>
      <c r="Q2030" s="2065"/>
      <c r="R2030" s="1315"/>
      <c r="S2030" s="1315"/>
      <c r="T2030" s="1315"/>
      <c r="U2030" s="1315"/>
      <c r="V2030" s="1315"/>
      <c r="W2030" s="1315"/>
      <c r="X2030" s="1315"/>
    </row>
    <row r="2031" spans="1:24">
      <c r="N2031" s="1953"/>
      <c r="O2031" s="1953"/>
      <c r="P2031" s="1953"/>
    </row>
    <row r="2032" spans="1:24" ht="14.4">
      <c r="A2032" s="2159" t="s">
        <v>3917</v>
      </c>
      <c r="B2032" s="1995" t="s">
        <v>3884</v>
      </c>
      <c r="C2032" s="1315"/>
      <c r="D2032" s="2025"/>
      <c r="E2032" s="2025"/>
      <c r="F2032" s="457"/>
      <c r="G2032" s="457"/>
      <c r="H2032" s="1957" t="s">
        <v>2748</v>
      </c>
      <c r="I2032" s="1315"/>
      <c r="J2032" s="1957" t="str">
        <f>'Part I-Project Information'!$H$105</f>
        <v>Flexible</v>
      </c>
      <c r="K2032" s="1315"/>
      <c r="L2032" s="2142" t="str">
        <f>IF(OR($O2032=$M2032,$O2032=$M2039,$O2032=$M2059,$O2032=0,$O2032=""),"","* * Check Score! * *")</f>
        <v>* * Check Score! * *</v>
      </c>
      <c r="M2032" s="2028">
        <v>4</v>
      </c>
      <c r="N2032" s="1955"/>
      <c r="O2032" s="2028">
        <f>'Part IX Scoring Criteria'!O384</f>
        <v>2</v>
      </c>
      <c r="P2032" s="2028">
        <f>P2039+P2059</f>
        <v>0</v>
      </c>
      <c r="Q2032" s="1955" t="s">
        <v>437</v>
      </c>
      <c r="R2032" s="1315"/>
      <c r="S2032" s="1315"/>
      <c r="T2032" s="1315"/>
      <c r="U2032" s="1315"/>
      <c r="V2032" s="1315"/>
      <c r="W2032" s="1315"/>
      <c r="X2032" s="1315"/>
    </row>
    <row r="2033" spans="1:24" ht="14.4">
      <c r="A2033" s="1311"/>
      <c r="B2033" s="2009" t="s">
        <v>5107</v>
      </c>
      <c r="C2033" s="1315"/>
      <c r="D2033" s="1315"/>
      <c r="E2033" s="2025"/>
      <c r="F2033" s="457"/>
      <c r="G2033" s="457"/>
      <c r="H2033" s="457"/>
      <c r="I2033" s="457"/>
      <c r="J2033" s="1315"/>
      <c r="K2033" s="1314"/>
      <c r="L2033" s="2242"/>
      <c r="M2033" s="1315"/>
      <c r="N2033" s="1315"/>
      <c r="O2033" s="1314" t="s">
        <v>2477</v>
      </c>
      <c r="P2033" s="1314" t="s">
        <v>2477</v>
      </c>
      <c r="Q2033" s="1315"/>
      <c r="R2033" s="1315"/>
      <c r="S2033" s="1315"/>
      <c r="T2033" s="1315"/>
      <c r="U2033" s="1315"/>
      <c r="V2033" s="1315"/>
      <c r="W2033" s="1315"/>
      <c r="X2033" s="1315"/>
    </row>
    <row r="2034" spans="1:24" ht="15" customHeight="1">
      <c r="A2034" s="1051"/>
      <c r="B2034" s="2098" t="s">
        <v>2403</v>
      </c>
      <c r="C2034" s="457" t="s">
        <v>2776</v>
      </c>
      <c r="D2034" s="1051"/>
      <c r="E2034" s="2025"/>
      <c r="F2034" s="457"/>
      <c r="G2034" s="457"/>
      <c r="H2034" s="457"/>
      <c r="I2034" s="457"/>
      <c r="J2034" s="1315"/>
      <c r="K2034" s="1314"/>
      <c r="L2034" s="2064" t="str">
        <f>IF(OR(O2034="No",O2034="",O2035="No",O2035="",O2036="No",O2036="",O2037="No",O2037=""),"Unmet criterion results in no points!","")</f>
        <v/>
      </c>
      <c r="M2034" s="2064"/>
      <c r="N2034" s="2098" t="s">
        <v>2403</v>
      </c>
      <c r="O2034" s="1314" t="str">
        <f>'Part IX Scoring Criteria'!O386</f>
        <v>Yes</v>
      </c>
      <c r="P2034" s="1314"/>
      <c r="Q2034" s="1051"/>
      <c r="R2034" s="2064" t="str">
        <f>IF(OR(P2034="No",P2034="",P2035="No",P2035="",P2036="No",P2036="",P2037="No",P2037=""),"Unmet criterion results in no points!","")</f>
        <v>Unmet criterion results in no points!</v>
      </c>
      <c r="S2034" s="2064" t="e">
        <f>IF(OR(V2034="No",V2034="",V2035="No",V2035="",V2036="No",V2036="",V2037="No",V2037="",#REF!="No",#REF!="",#REF!="No",#REF!=""),"Unmet criterion results in no points!","")</f>
        <v>#REF!</v>
      </c>
      <c r="T2034" s="1051"/>
      <c r="U2034" s="1051"/>
      <c r="V2034" s="1051"/>
      <c r="W2034" s="1051"/>
      <c r="X2034" s="1051"/>
    </row>
    <row r="2035" spans="1:24">
      <c r="A2035" s="1051"/>
      <c r="B2035" s="2098" t="s">
        <v>2404</v>
      </c>
      <c r="C2035" s="457" t="s">
        <v>3693</v>
      </c>
      <c r="D2035" s="1051"/>
      <c r="E2035" s="1051"/>
      <c r="F2035" s="1051"/>
      <c r="G2035" s="1051"/>
      <c r="H2035" s="1051"/>
      <c r="I2035" s="1051"/>
      <c r="J2035" s="1051"/>
      <c r="K2035" s="1051"/>
      <c r="L2035" s="2064"/>
      <c r="M2035" s="2064"/>
      <c r="N2035" s="2098" t="s">
        <v>2404</v>
      </c>
      <c r="O2035" s="1314" t="str">
        <f>'Part IX Scoring Criteria'!O387</f>
        <v>Yes</v>
      </c>
      <c r="P2035" s="1314"/>
      <c r="Q2035" s="1051"/>
      <c r="R2035" s="2064"/>
      <c r="S2035" s="2064"/>
      <c r="T2035" s="1051"/>
      <c r="U2035" s="1051"/>
      <c r="V2035" s="1051"/>
      <c r="W2035" s="1051"/>
      <c r="X2035" s="1051"/>
    </row>
    <row r="2036" spans="1:24">
      <c r="A2036" s="1051"/>
      <c r="B2036" s="2098" t="s">
        <v>2405</v>
      </c>
      <c r="C2036" s="457" t="s">
        <v>3692</v>
      </c>
      <c r="D2036" s="1051"/>
      <c r="E2036" s="1051"/>
      <c r="F2036" s="1051"/>
      <c r="G2036" s="1051"/>
      <c r="H2036" s="1051"/>
      <c r="I2036" s="1051"/>
      <c r="J2036" s="1051"/>
      <c r="K2036" s="1051"/>
      <c r="L2036" s="2064"/>
      <c r="M2036" s="2064"/>
      <c r="N2036" s="2098" t="s">
        <v>2405</v>
      </c>
      <c r="O2036" s="1314" t="str">
        <f>'Part IX Scoring Criteria'!O388</f>
        <v>Yes</v>
      </c>
      <c r="P2036" s="1314"/>
      <c r="Q2036" s="1051"/>
      <c r="R2036" s="2064"/>
      <c r="S2036" s="2064"/>
      <c r="T2036" s="1051"/>
      <c r="U2036" s="1051"/>
      <c r="V2036" s="1051"/>
      <c r="W2036" s="1051"/>
      <c r="X2036" s="1051"/>
    </row>
    <row r="2037" spans="1:24" ht="12.75" customHeight="1">
      <c r="A2037" s="1051"/>
      <c r="B2037" s="2095" t="s">
        <v>2406</v>
      </c>
      <c r="C2037" s="2064" t="s">
        <v>4553</v>
      </c>
      <c r="D2037" s="2064"/>
      <c r="E2037" s="2064"/>
      <c r="F2037" s="2064"/>
      <c r="G2037" s="2064"/>
      <c r="H2037" s="2064"/>
      <c r="I2037" s="2064"/>
      <c r="J2037" s="2064"/>
      <c r="K2037" s="2064"/>
      <c r="L2037" s="2064"/>
      <c r="M2037" s="2064"/>
      <c r="N2037" s="2095" t="s">
        <v>2406</v>
      </c>
      <c r="O2037" s="2096" t="str">
        <f>'Part IX Scoring Criteria'!O389</f>
        <v>Yes</v>
      </c>
      <c r="P2037" s="2096"/>
      <c r="Q2037" s="1051"/>
      <c r="R2037" s="1051"/>
      <c r="S2037" s="1051"/>
      <c r="T2037" s="1051"/>
      <c r="U2037" s="1051"/>
      <c r="V2037" s="1051"/>
      <c r="W2037" s="1051"/>
      <c r="X2037" s="1051"/>
    </row>
    <row r="2038" spans="1:24">
      <c r="C2038" s="2064"/>
      <c r="D2038" s="2064"/>
      <c r="E2038" s="2064"/>
      <c r="F2038" s="2064"/>
      <c r="G2038" s="2064"/>
      <c r="H2038" s="2064"/>
      <c r="I2038" s="2064"/>
      <c r="J2038" s="2064"/>
      <c r="K2038" s="2064"/>
      <c r="L2038" s="2064"/>
      <c r="M2038" s="2064"/>
      <c r="N2038" s="1953"/>
      <c r="O2038" s="1953"/>
      <c r="P2038" s="1953"/>
    </row>
    <row r="2039" spans="1:24">
      <c r="A2039" s="2243" t="s">
        <v>1957</v>
      </c>
      <c r="B2039" s="1957" t="s">
        <v>3885</v>
      </c>
      <c r="L2039" s="2142" t="str">
        <f>IF(OR($O2039=$M2039,$O2039=0,$O2039=""),"","* * Check Score! * *")</f>
        <v>* * Check Score! * *</v>
      </c>
      <c r="M2039" s="1958">
        <v>3</v>
      </c>
      <c r="N2039" s="2098" t="s">
        <v>1957</v>
      </c>
      <c r="O2039" s="2028">
        <f>'Part IX Scoring Criteria'!O391</f>
        <v>2</v>
      </c>
      <c r="P2039" s="2028"/>
      <c r="Q2039" s="2121" t="str">
        <f>IF(OR($O2039=$M2039,$O2039=0,$O2039=""),"","*CHECK!*")</f>
        <v>*CHECK!*</v>
      </c>
      <c r="R2039" s="1828" t="s">
        <v>2667</v>
      </c>
    </row>
    <row r="2040" spans="1:24">
      <c r="A2040" s="2243"/>
      <c r="B2040" s="2215" t="s">
        <v>1960</v>
      </c>
      <c r="C2040" s="2061" t="s">
        <v>4556</v>
      </c>
      <c r="D2040" s="2061"/>
      <c r="E2040" s="2061"/>
      <c r="F2040" s="2061"/>
      <c r="G2040" s="2061"/>
      <c r="H2040" s="2061"/>
      <c r="I2040" s="2061"/>
    </row>
    <row r="2041" spans="1:24">
      <c r="A2041" s="2243"/>
      <c r="B2041" s="2136"/>
      <c r="C2041" s="2061" t="s">
        <v>4555</v>
      </c>
      <c r="D2041" s="2061"/>
      <c r="E2041" s="2061"/>
      <c r="F2041" s="2061"/>
      <c r="G2041" s="2061"/>
      <c r="H2041" s="2061"/>
      <c r="I2041" s="2061"/>
      <c r="J2041" s="2244" t="s">
        <v>1964</v>
      </c>
      <c r="K2041" s="2244"/>
      <c r="M2041" s="2244" t="s">
        <v>1964</v>
      </c>
      <c r="N2041" s="2244"/>
      <c r="O2041" s="2244"/>
      <c r="P2041" s="2244"/>
    </row>
    <row r="2042" spans="1:24" ht="14.4">
      <c r="A2042" s="1988"/>
      <c r="B2042" s="2098" t="s">
        <v>2403</v>
      </c>
      <c r="C2042" s="457" t="s">
        <v>1464</v>
      </c>
      <c r="D2042" s="1315"/>
      <c r="E2042" s="1315"/>
      <c r="F2042" s="1315"/>
      <c r="G2042" s="1315"/>
      <c r="H2042" s="1315"/>
      <c r="I2042" s="2098" t="s">
        <v>2403</v>
      </c>
      <c r="J2042" s="2013">
        <f>'Part IX Scoring Criteria'!J394</f>
        <v>0</v>
      </c>
      <c r="K2042" s="2013">
        <f>'Part IX Scoring Criteria'!K394</f>
        <v>0</v>
      </c>
      <c r="L2042" s="2098" t="s">
        <v>2403</v>
      </c>
      <c r="M2042" s="2013"/>
      <c r="N2042" s="2013"/>
      <c r="O2042" s="2013"/>
      <c r="P2042" s="2013"/>
      <c r="Q2042" s="1315"/>
      <c r="R2042" s="2142"/>
      <c r="S2042" s="1315"/>
      <c r="T2042" s="1315"/>
      <c r="U2042" s="1315"/>
      <c r="V2042" s="1315"/>
      <c r="W2042" s="1315"/>
      <c r="X2042" s="1315"/>
    </row>
    <row r="2043" spans="1:24">
      <c r="A2043" s="2045"/>
      <c r="B2043" s="2095" t="s">
        <v>2404</v>
      </c>
      <c r="C2043" s="457" t="s">
        <v>3530</v>
      </c>
      <c r="I2043" s="2095" t="s">
        <v>2404</v>
      </c>
      <c r="J2043" s="2013">
        <f>'Part IX Scoring Criteria'!J395</f>
        <v>0</v>
      </c>
      <c r="K2043" s="2013">
        <f>'Part IX Scoring Criteria'!K395</f>
        <v>0</v>
      </c>
      <c r="L2043" s="2095" t="s">
        <v>2404</v>
      </c>
      <c r="M2043" s="2013"/>
      <c r="N2043" s="2013"/>
      <c r="O2043" s="2013"/>
      <c r="P2043" s="2013"/>
      <c r="R2043" s="2142"/>
    </row>
    <row r="2044" spans="1:24">
      <c r="B2044" s="2098" t="s">
        <v>2405</v>
      </c>
      <c r="C2044" s="457" t="s">
        <v>2592</v>
      </c>
      <c r="I2044" s="2098" t="s">
        <v>2405</v>
      </c>
      <c r="J2044" s="2013">
        <f>'Part IX Scoring Criteria'!J396</f>
        <v>0</v>
      </c>
      <c r="K2044" s="2013">
        <f>'Part IX Scoring Criteria'!K396</f>
        <v>0</v>
      </c>
      <c r="L2044" s="2098" t="s">
        <v>2405</v>
      </c>
      <c r="M2044" s="2013"/>
      <c r="N2044" s="2013"/>
      <c r="O2044" s="2013"/>
      <c r="P2044" s="2013"/>
      <c r="R2044" s="2142"/>
    </row>
    <row r="2045" spans="1:24">
      <c r="A2045" s="2045"/>
      <c r="B2045" s="2098" t="s">
        <v>2406</v>
      </c>
      <c r="C2045" s="457" t="s">
        <v>3394</v>
      </c>
      <c r="I2045" s="2098" t="s">
        <v>2406</v>
      </c>
      <c r="J2045" s="2013">
        <f>'Part IX Scoring Criteria'!J397</f>
        <v>0</v>
      </c>
      <c r="K2045" s="2013">
        <f>'Part IX Scoring Criteria'!K397</f>
        <v>0</v>
      </c>
      <c r="L2045" s="2098" t="s">
        <v>2406</v>
      </c>
      <c r="M2045" s="2013"/>
      <c r="N2045" s="2013"/>
      <c r="O2045" s="2013"/>
      <c r="P2045" s="2013"/>
      <c r="R2045" s="2142"/>
    </row>
    <row r="2046" spans="1:24" ht="14.4">
      <c r="A2046" s="1988"/>
      <c r="B2046" s="2095" t="s">
        <v>2407</v>
      </c>
      <c r="C2046" s="457" t="s">
        <v>2688</v>
      </c>
      <c r="D2046" s="1315"/>
      <c r="E2046" s="1315"/>
      <c r="F2046" s="1315"/>
      <c r="G2046" s="1315"/>
      <c r="H2046" s="1315"/>
      <c r="I2046" s="2095" t="s">
        <v>2407</v>
      </c>
      <c r="J2046" s="2013">
        <f>'Part IX Scoring Criteria'!J398</f>
        <v>0</v>
      </c>
      <c r="K2046" s="2013">
        <f>'Part IX Scoring Criteria'!K398</f>
        <v>0</v>
      </c>
      <c r="L2046" s="2095" t="s">
        <v>2407</v>
      </c>
      <c r="M2046" s="2013"/>
      <c r="N2046" s="2013"/>
      <c r="O2046" s="2013"/>
      <c r="P2046" s="2013"/>
      <c r="Q2046" s="1315"/>
      <c r="R2046" s="2142"/>
      <c r="S2046" s="1315"/>
      <c r="T2046" s="1315"/>
      <c r="U2046" s="1315"/>
      <c r="V2046" s="1315"/>
      <c r="W2046" s="1315"/>
      <c r="X2046" s="1315"/>
    </row>
    <row r="2047" spans="1:24">
      <c r="B2047" s="2098" t="s">
        <v>2423</v>
      </c>
      <c r="C2047" s="457" t="s">
        <v>1463</v>
      </c>
      <c r="I2047" s="2098" t="s">
        <v>2423</v>
      </c>
      <c r="J2047" s="2013">
        <f>'Part IX Scoring Criteria'!J399</f>
        <v>0</v>
      </c>
      <c r="K2047" s="2013">
        <f>'Part IX Scoring Criteria'!K399</f>
        <v>0</v>
      </c>
      <c r="L2047" s="2098" t="s">
        <v>2423</v>
      </c>
      <c r="M2047" s="2013"/>
      <c r="N2047" s="2013"/>
      <c r="O2047" s="2013"/>
      <c r="P2047" s="2013"/>
      <c r="R2047" s="2142"/>
    </row>
    <row r="2048" spans="1:24">
      <c r="A2048" s="2045"/>
      <c r="B2048" s="2098" t="s">
        <v>2424</v>
      </c>
      <c r="C2048" s="457" t="s">
        <v>3529</v>
      </c>
      <c r="I2048" s="2098" t="s">
        <v>2424</v>
      </c>
      <c r="J2048" s="2013">
        <f>'Part IX Scoring Criteria'!J400</f>
        <v>0</v>
      </c>
      <c r="K2048" s="2013">
        <f>'Part IX Scoring Criteria'!K400</f>
        <v>0</v>
      </c>
      <c r="L2048" s="2098" t="s">
        <v>2424</v>
      </c>
      <c r="M2048" s="2013"/>
      <c r="N2048" s="2013"/>
      <c r="O2048" s="2013"/>
      <c r="P2048" s="2013"/>
      <c r="R2048" s="2142"/>
    </row>
    <row r="2049" spans="1:24">
      <c r="B2049" s="2098" t="s">
        <v>2425</v>
      </c>
      <c r="C2049" s="457" t="s">
        <v>4756</v>
      </c>
      <c r="I2049" s="2098" t="s">
        <v>2425</v>
      </c>
      <c r="J2049" s="2013">
        <f>'Part IX Scoring Criteria'!J401</f>
        <v>0</v>
      </c>
      <c r="K2049" s="2013">
        <f>'Part IX Scoring Criteria'!K401</f>
        <v>0</v>
      </c>
      <c r="L2049" s="2098" t="s">
        <v>2425</v>
      </c>
      <c r="M2049" s="2013"/>
      <c r="N2049" s="2013"/>
      <c r="O2049" s="2013"/>
      <c r="P2049" s="2013"/>
      <c r="R2049" s="2142"/>
    </row>
    <row r="2050" spans="1:24">
      <c r="B2050" s="2098" t="s">
        <v>2426</v>
      </c>
      <c r="C2050" s="457" t="s">
        <v>4558</v>
      </c>
      <c r="I2050" s="2098" t="s">
        <v>2426</v>
      </c>
      <c r="J2050" s="2013">
        <f>'Part IX Scoring Criteria'!J402</f>
        <v>0</v>
      </c>
      <c r="K2050" s="2013">
        <f>'Part IX Scoring Criteria'!K402</f>
        <v>0</v>
      </c>
      <c r="L2050" s="2098" t="s">
        <v>2426</v>
      </c>
      <c r="M2050" s="2013"/>
      <c r="N2050" s="2013"/>
      <c r="O2050" s="2013"/>
      <c r="P2050" s="2013"/>
      <c r="R2050" s="2142"/>
    </row>
    <row r="2051" spans="1:24">
      <c r="B2051" s="2098" t="s">
        <v>3531</v>
      </c>
      <c r="C2051" s="457" t="s">
        <v>4559</v>
      </c>
      <c r="I2051" s="2098" t="s">
        <v>3531</v>
      </c>
      <c r="J2051" s="2013">
        <f>'Part IX Scoring Criteria'!J403</f>
        <v>1200000</v>
      </c>
      <c r="K2051" s="2013">
        <f>'Part IX Scoring Criteria'!K403</f>
        <v>0</v>
      </c>
      <c r="L2051" s="2098" t="s">
        <v>3531</v>
      </c>
      <c r="M2051" s="2013"/>
      <c r="N2051" s="2013"/>
      <c r="O2051" s="2013"/>
      <c r="P2051" s="2013"/>
      <c r="R2051" s="2142"/>
    </row>
    <row r="2052" spans="1:24">
      <c r="B2052" s="2114" t="s">
        <v>4799</v>
      </c>
      <c r="H2052" s="2009" t="s">
        <v>2594</v>
      </c>
      <c r="J2052" s="2013">
        <f>SUM(J2042:K2051)</f>
        <v>1200000</v>
      </c>
      <c r="K2052" s="2013"/>
      <c r="M2052" s="2013">
        <f>SUM($M2042:$M2051)</f>
        <v>0</v>
      </c>
      <c r="N2052" s="2013"/>
      <c r="O2052" s="2013"/>
      <c r="P2052" s="2013"/>
      <c r="R2052" s="2142"/>
    </row>
    <row r="2053" spans="1:24" ht="14.4">
      <c r="A2053" s="1311"/>
      <c r="B2053" s="1315"/>
      <c r="C2053" s="1315"/>
      <c r="D2053" s="457"/>
      <c r="E2053" s="457"/>
      <c r="F2053" s="1955"/>
      <c r="G2053" s="1786"/>
      <c r="H2053" s="2113"/>
      <c r="I2053" s="1315"/>
      <c r="J2053" s="1778"/>
      <c r="K2053" s="1778"/>
      <c r="L2053" s="1786"/>
      <c r="M2053" s="1778"/>
      <c r="N2053" s="1778"/>
      <c r="O2053" s="2245"/>
      <c r="P2053" s="1778"/>
      <c r="Q2053" s="1315"/>
      <c r="R2053" s="1315"/>
      <c r="S2053" s="1315"/>
      <c r="T2053" s="1315"/>
      <c r="U2053" s="1315"/>
      <c r="V2053" s="1315"/>
      <c r="W2053" s="1315"/>
      <c r="X2053" s="1315"/>
    </row>
    <row r="2054" spans="1:24" ht="13.8">
      <c r="B2054" s="2246" t="s">
        <v>1962</v>
      </c>
      <c r="C2054" s="1203" t="s">
        <v>2593</v>
      </c>
      <c r="M2054" s="1778"/>
      <c r="N2054" s="1778"/>
      <c r="P2054" s="1778"/>
    </row>
    <row r="2055" spans="1:24" ht="15" customHeight="1">
      <c r="A2055" s="1311"/>
      <c r="B2055" s="1315"/>
      <c r="C2055" s="1925" t="s">
        <v>5108</v>
      </c>
      <c r="D2055" s="1925"/>
      <c r="E2055" s="1925"/>
      <c r="F2055" s="2009" t="s">
        <v>4602</v>
      </c>
      <c r="G2055" s="1315"/>
      <c r="I2055" s="1977">
        <f>'Part IX Scoring Criteria'!I407</f>
        <v>15872847</v>
      </c>
      <c r="J2055" s="2013">
        <f>'Part IV-A-Uses of Funds'!$G$132</f>
        <v>15872847</v>
      </c>
      <c r="K2055" s="2013"/>
      <c r="L2055" s="1786"/>
      <c r="M2055" s="1778"/>
      <c r="N2055" s="1778"/>
      <c r="O2055" s="2245"/>
      <c r="P2055" s="1778"/>
      <c r="Q2055" s="1315"/>
      <c r="R2055" s="1315"/>
      <c r="S2055" s="1315"/>
      <c r="T2055" s="1315"/>
      <c r="U2055" s="1315"/>
      <c r="V2055" s="1315"/>
      <c r="W2055" s="1315"/>
      <c r="X2055" s="1315"/>
    </row>
    <row r="2056" spans="1:24">
      <c r="C2056" s="1925"/>
      <c r="D2056" s="1925"/>
      <c r="E2056" s="1925"/>
      <c r="F2056" s="2110" t="s">
        <v>4601</v>
      </c>
      <c r="I2056" s="2247">
        <f>'Part IX Scoring Criteria'!I408</f>
        <v>7.5600804316957135E-2</v>
      </c>
      <c r="J2056" s="2248">
        <f>IF($J2055=0,0,$J2052/$J2055)</f>
        <v>7.5600804316957135E-2</v>
      </c>
      <c r="K2056" s="2248"/>
      <c r="M2056" s="2248">
        <f>'Part IX Scoring Criteria'!M408</f>
        <v>0</v>
      </c>
      <c r="N2056" s="2248">
        <f>'Part IX Scoring Criteria'!N408</f>
        <v>0</v>
      </c>
      <c r="O2056" s="2248">
        <f>'Part IX Scoring Criteria'!O408</f>
        <v>0</v>
      </c>
      <c r="P2056" s="2248">
        <f>'Part IX Scoring Criteria'!P408</f>
        <v>0</v>
      </c>
    </row>
    <row r="2057" spans="1:24" ht="14.4">
      <c r="A2057" s="1315"/>
      <c r="B2057" s="1315"/>
      <c r="C2057" s="1925"/>
      <c r="D2057" s="1925"/>
      <c r="E2057" s="1925"/>
      <c r="F2057" s="2025" t="s">
        <v>4600</v>
      </c>
      <c r="G2057" s="1315"/>
      <c r="H2057" s="1315"/>
      <c r="I2057" s="1977">
        <f>'Part IX Scoring Criteria'!I409</f>
        <v>2</v>
      </c>
      <c r="J2057" s="1990">
        <f>'Part IX Scoring Criteria'!J409</f>
        <v>2</v>
      </c>
      <c r="K2057" s="1990">
        <f>'Part IX Scoring Criteria'!K409</f>
        <v>0</v>
      </c>
      <c r="L2057" s="1957"/>
      <c r="M2057" s="1990">
        <f>'Part IX Scoring Criteria'!M409</f>
        <v>0</v>
      </c>
      <c r="N2057" s="1990">
        <f>'Part IX Scoring Criteria'!N409</f>
        <v>0</v>
      </c>
      <c r="O2057" s="1990">
        <f>'Part IX Scoring Criteria'!O409</f>
        <v>0</v>
      </c>
      <c r="P2057" s="1990">
        <f>'Part IX Scoring Criteria'!P409</f>
        <v>0</v>
      </c>
      <c r="Q2057" s="1315"/>
      <c r="R2057" s="1315"/>
      <c r="S2057" s="1315"/>
      <c r="T2057" s="1315"/>
      <c r="U2057" s="1315"/>
      <c r="V2057" s="1315"/>
      <c r="W2057" s="1315"/>
      <c r="X2057" s="1315"/>
    </row>
    <row r="2058" spans="1:24">
      <c r="N2058" s="1953"/>
      <c r="O2058" s="1953"/>
      <c r="P2058" s="1953"/>
    </row>
    <row r="2059" spans="1:24" ht="18">
      <c r="A2059" s="1981" t="s">
        <v>1959</v>
      </c>
      <c r="B2059" s="2145" t="s">
        <v>3532</v>
      </c>
      <c r="C2059" s="2122"/>
      <c r="D2059" s="457"/>
      <c r="E2059" s="457"/>
      <c r="F2059" s="1955"/>
      <c r="G2059" s="2122"/>
      <c r="H2059" s="457"/>
      <c r="I2059" s="1955"/>
      <c r="J2059" s="2009"/>
      <c r="K2059" s="2009"/>
      <c r="L2059" s="2142" t="str">
        <f>IF(OR($O2059=$M2059,$O2059=0,$O2059=""),"","* * Check Score! * *")</f>
        <v/>
      </c>
      <c r="M2059" s="1958">
        <v>1</v>
      </c>
      <c r="N2059" s="2098" t="s">
        <v>1959</v>
      </c>
      <c r="O2059" s="2028">
        <f>'Part IX Scoring Criteria'!O411</f>
        <v>0</v>
      </c>
      <c r="P2059" s="2028"/>
      <c r="Q2059" s="1955" t="s">
        <v>437</v>
      </c>
      <c r="R2059" s="1828" t="s">
        <v>2667</v>
      </c>
      <c r="S2059" s="2122"/>
      <c r="T2059" s="2122"/>
      <c r="U2059" s="2122"/>
      <c r="V2059" s="2146"/>
      <c r="W2059" s="2146"/>
      <c r="X2059" s="2122"/>
    </row>
    <row r="2060" spans="1:24" ht="18.75" customHeight="1">
      <c r="A2060" s="1981"/>
      <c r="B2060" s="2095" t="s">
        <v>2403</v>
      </c>
      <c r="C2060" s="2064" t="s">
        <v>3886</v>
      </c>
      <c r="D2060" s="2064"/>
      <c r="E2060" s="2064"/>
      <c r="F2060" s="2064"/>
      <c r="G2060" s="2064"/>
      <c r="H2060" s="2064"/>
      <c r="I2060" s="2064"/>
      <c r="J2060" s="2064"/>
      <c r="K2060" s="2064"/>
      <c r="L2060" s="2064"/>
      <c r="M2060" s="2064"/>
      <c r="N2060" s="2095" t="s">
        <v>2403</v>
      </c>
      <c r="O2060" s="2096">
        <f>'Part IX Scoring Criteria'!O412</f>
        <v>0</v>
      </c>
      <c r="P2060" s="2096"/>
      <c r="Q2060" s="1315"/>
      <c r="R2060" s="1315"/>
      <c r="S2060" s="1315"/>
      <c r="T2060" s="1315"/>
      <c r="U2060" s="1315"/>
      <c r="V2060" s="2146"/>
      <c r="W2060" s="2146"/>
      <c r="X2060" s="1315"/>
    </row>
    <row r="2061" spans="1:24" ht="18">
      <c r="A2061" s="1981"/>
      <c r="B2061" s="2098" t="s">
        <v>2404</v>
      </c>
      <c r="C2061" s="457" t="s">
        <v>3685</v>
      </c>
      <c r="D2061" s="457"/>
      <c r="E2061" s="457"/>
      <c r="F2061" s="457"/>
      <c r="G2061" s="457"/>
      <c r="H2061" s="457"/>
      <c r="I2061" s="457"/>
      <c r="J2061" s="457"/>
      <c r="K2061" s="457"/>
      <c r="L2061" s="1315"/>
      <c r="M2061" s="457"/>
      <c r="N2061" s="2095" t="s">
        <v>2404</v>
      </c>
      <c r="O2061" s="1314">
        <f>'Part IX Scoring Criteria'!O413</f>
        <v>0</v>
      </c>
      <c r="P2061" s="1314"/>
      <c r="Q2061" s="1315"/>
      <c r="R2061" s="1315"/>
      <c r="S2061" s="1315"/>
      <c r="T2061" s="1315"/>
      <c r="U2061" s="1315"/>
      <c r="V2061" s="2146"/>
      <c r="W2061" s="2146"/>
      <c r="X2061" s="1315"/>
    </row>
    <row r="2062" spans="1:24">
      <c r="B2062" s="2098" t="s">
        <v>2405</v>
      </c>
      <c r="C2062" s="1051" t="s">
        <v>4561</v>
      </c>
      <c r="N2062" s="2098" t="s">
        <v>2405</v>
      </c>
      <c r="O2062" s="1314">
        <f>'Part IX Scoring Criteria'!O414</f>
        <v>0</v>
      </c>
      <c r="P2062" s="1314"/>
    </row>
    <row r="2063" spans="1:24">
      <c r="B2063" s="1997" t="s">
        <v>3645</v>
      </c>
      <c r="N2063" s="1953"/>
      <c r="O2063" s="1953"/>
      <c r="P2063" s="1953"/>
    </row>
    <row r="2064" spans="1:24" ht="326.39999999999998">
      <c r="A2064" s="2064" t="str">
        <f>'Part IX Scoring Criteria'!A416</f>
        <v xml:space="preserve">A commitment from Invest Atlanta for Housing Opportunity Bonds in the amount of $1,200,000 has been included. The loan is for both construction and permanent financing for a period of 40 years and 1% interest. The commitment is included in Tab 1 and Tab 40. This loan represents 7.5601% of TDC, so the applicant is eligible for 2 points. </v>
      </c>
      <c r="B2064" s="2064"/>
      <c r="C2064" s="2064"/>
      <c r="D2064" s="2064"/>
      <c r="E2064" s="2064"/>
      <c r="F2064" s="2064"/>
      <c r="G2064" s="2064"/>
      <c r="H2064" s="2064"/>
      <c r="I2064" s="2064"/>
      <c r="J2064" s="2064"/>
      <c r="K2064" s="2064"/>
      <c r="L2064" s="2064"/>
      <c r="M2064" s="2064"/>
      <c r="N2064" s="2064"/>
      <c r="O2064" s="2064"/>
      <c r="P2064" s="2064"/>
      <c r="Q2064" s="2065" t="s">
        <v>1239</v>
      </c>
      <c r="R2064" s="1315"/>
      <c r="S2064" s="1315"/>
      <c r="T2064" s="1315"/>
      <c r="U2064" s="1315"/>
      <c r="V2064" s="1315"/>
      <c r="W2064" s="1315"/>
      <c r="X2064" s="1315"/>
    </row>
    <row r="2065" spans="1:24" ht="14.4">
      <c r="A2065" s="1311"/>
      <c r="B2065" s="1814" t="s">
        <v>1841</v>
      </c>
      <c r="C2065" s="1311"/>
      <c r="D2065" s="1997"/>
      <c r="E2065" s="1994"/>
      <c r="F2065" s="1994"/>
      <c r="G2065" s="1994"/>
      <c r="H2065" s="1994"/>
      <c r="I2065" s="1994"/>
      <c r="J2065" s="1994"/>
      <c r="K2065" s="1994"/>
      <c r="L2065" s="1994"/>
      <c r="M2065" s="1994"/>
      <c r="N2065" s="1967"/>
      <c r="O2065" s="1967"/>
      <c r="P2065" s="1955"/>
      <c r="Q2065" s="2123"/>
      <c r="R2065" s="2122"/>
      <c r="S2065" s="2122"/>
      <c r="T2065" s="2122"/>
      <c r="U2065" s="2122"/>
      <c r="V2065" s="2122"/>
      <c r="W2065" s="2122"/>
      <c r="X2065" s="2122"/>
    </row>
    <row r="2066" spans="1:24" ht="15">
      <c r="A2066" s="2064"/>
      <c r="B2066" s="2064"/>
      <c r="C2066" s="2064"/>
      <c r="D2066" s="2064"/>
      <c r="E2066" s="2064"/>
      <c r="F2066" s="2064"/>
      <c r="G2066" s="2064"/>
      <c r="H2066" s="2064"/>
      <c r="I2066" s="2064"/>
      <c r="J2066" s="2064"/>
      <c r="K2066" s="2064"/>
      <c r="L2066" s="2064"/>
      <c r="M2066" s="2064"/>
      <c r="N2066" s="2064"/>
      <c r="O2066" s="2064"/>
      <c r="P2066" s="2064"/>
      <c r="Q2066" s="2065"/>
      <c r="R2066" s="1315"/>
      <c r="S2066" s="1315"/>
      <c r="T2066" s="1315"/>
      <c r="U2066" s="1315"/>
      <c r="V2066" s="1315"/>
      <c r="W2066" s="1315"/>
      <c r="X2066" s="1315"/>
    </row>
    <row r="2067" spans="1:24" ht="14.4">
      <c r="A2067" s="1311"/>
      <c r="B2067" s="1311"/>
      <c r="C2067" s="2068"/>
      <c r="D2067" s="2068"/>
      <c r="E2067" s="2068"/>
      <c r="F2067" s="2068"/>
      <c r="G2067" s="2068"/>
      <c r="H2067" s="2068"/>
      <c r="I2067" s="2068"/>
      <c r="J2067" s="2068"/>
      <c r="K2067" s="2068"/>
      <c r="L2067" s="2068"/>
      <c r="M2067" s="2068"/>
      <c r="N2067" s="2144"/>
      <c r="O2067" s="2144"/>
      <c r="P2067" s="1955"/>
      <c r="Q2067" s="1315"/>
      <c r="R2067" s="1315"/>
      <c r="S2067" s="1315"/>
      <c r="T2067" s="1315"/>
      <c r="U2067" s="1315"/>
      <c r="V2067" s="1315"/>
      <c r="W2067" s="1315"/>
      <c r="X2067" s="1315"/>
    </row>
    <row r="2068" spans="1:24" ht="14.4">
      <c r="A2068" s="2159" t="s">
        <v>3918</v>
      </c>
      <c r="B2068" s="1995" t="s">
        <v>2681</v>
      </c>
      <c r="C2068" s="1315"/>
      <c r="D2068" s="2009"/>
      <c r="E2068" s="1315"/>
      <c r="F2068" s="1315"/>
      <c r="G2068" s="2010" t="s">
        <v>3330</v>
      </c>
      <c r="H2068" s="1315"/>
      <c r="I2068" s="1315"/>
      <c r="J2068" s="457"/>
      <c r="K2068" s="457"/>
      <c r="L2068" s="457"/>
      <c r="M2068" s="1955">
        <v>2</v>
      </c>
      <c r="N2068" s="2098"/>
      <c r="O2068" s="1955">
        <f>'Part IX Scoring Criteria'!O420</f>
        <v>0</v>
      </c>
      <c r="P2068" s="1955">
        <f>MIN($M2068,P2072+P2079)</f>
        <v>0</v>
      </c>
      <c r="Q2068" s="1955" t="s">
        <v>437</v>
      </c>
      <c r="R2068" s="2142" t="str">
        <f>IF(OR($O2072=$M2068,$O2072=0,$O2072=""),"","* * Check Score! * *")</f>
        <v/>
      </c>
      <c r="S2068" s="1315"/>
      <c r="T2068" s="1315"/>
      <c r="U2068" s="1315"/>
      <c r="V2068" s="1315"/>
      <c r="W2068" s="1315"/>
      <c r="X2068" s="1315"/>
    </row>
    <row r="2069" spans="1:24" ht="14.4">
      <c r="A2069" s="2138"/>
      <c r="B2069" s="2136"/>
      <c r="C2069" s="2138"/>
      <c r="D2069" s="2138"/>
      <c r="E2069" s="2138"/>
      <c r="F2069" s="2096"/>
      <c r="G2069" s="1958"/>
      <c r="H2069" s="2138"/>
      <c r="I2069" s="2138"/>
      <c r="J2069" s="2138"/>
      <c r="K2069" s="2138"/>
      <c r="L2069" s="2138"/>
      <c r="M2069" s="2190"/>
      <c r="N2069" s="2190"/>
      <c r="O2069" s="2190"/>
      <c r="P2069" s="2190"/>
      <c r="Q2069" s="1786"/>
      <c r="R2069" s="2138"/>
      <c r="S2069" s="2138"/>
      <c r="T2069" s="2138"/>
      <c r="U2069" s="2138"/>
      <c r="V2069" s="2138"/>
      <c r="W2069" s="2138"/>
      <c r="X2069" s="2138"/>
    </row>
    <row r="2070" spans="1:24" ht="14.4">
      <c r="A2070" s="2239"/>
      <c r="B2070" s="2195" t="s">
        <v>3395</v>
      </c>
      <c r="C2070" s="2138"/>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2061" t="s">
        <v>2779</v>
      </c>
      <c r="K2070" s="2138"/>
      <c r="L2070" s="1977">
        <f>'Part III-Sources of Funds'!$I$51</f>
        <v>0</v>
      </c>
      <c r="M2070" s="2190"/>
      <c r="N2070" s="2190"/>
      <c r="O2070" s="2190"/>
      <c r="P2070" s="2190"/>
      <c r="Q2070" s="1786"/>
      <c r="R2070" s="2138"/>
      <c r="S2070" s="2138"/>
      <c r="T2070" s="2138"/>
      <c r="U2070" s="2138"/>
      <c r="V2070" s="2138"/>
      <c r="W2070" s="2138"/>
      <c r="X2070" s="2138"/>
    </row>
    <row r="2071" spans="1:24" ht="14.4">
      <c r="A2071" s="2138"/>
      <c r="B2071" s="2136"/>
      <c r="C2071" s="2138"/>
      <c r="D2071" s="2138"/>
      <c r="E2071" s="2138"/>
      <c r="F2071" s="2138"/>
      <c r="G2071" s="2138"/>
      <c r="H2071" s="2138"/>
      <c r="I2071" s="2138"/>
      <c r="J2071" s="2138"/>
      <c r="K2071" s="2138"/>
      <c r="L2071" s="2138"/>
      <c r="M2071" s="2190"/>
      <c r="N2071" s="2190"/>
      <c r="O2071" s="2190"/>
      <c r="P2071" s="2190"/>
      <c r="Q2071" s="1786"/>
      <c r="R2071" s="2138"/>
      <c r="S2071" s="2138"/>
      <c r="T2071" s="2138"/>
      <c r="U2071" s="2138"/>
      <c r="V2071" s="2138"/>
      <c r="W2071" s="2138"/>
      <c r="X2071" s="2138"/>
    </row>
    <row r="2072" spans="1:24" ht="14.4">
      <c r="A2072" s="2170" t="s">
        <v>1957</v>
      </c>
      <c r="B2072" s="457" t="s">
        <v>5109</v>
      </c>
      <c r="C2072" s="2061"/>
      <c r="D2072" s="2061"/>
      <c r="E2072" s="2061"/>
      <c r="F2072" s="2061"/>
      <c r="G2072" s="2061"/>
      <c r="H2072" s="2061"/>
      <c r="I2072" s="2061"/>
      <c r="J2072" s="2138"/>
      <c r="K2072" s="2138"/>
      <c r="L2072" s="2138"/>
      <c r="M2072" s="2190">
        <v>2</v>
      </c>
      <c r="N2072" s="2095" t="s">
        <v>1957</v>
      </c>
      <c r="O2072" s="2028">
        <f>'Part IX Scoring Criteria'!O424</f>
        <v>0</v>
      </c>
      <c r="P2072" s="2028"/>
      <c r="Q2072" s="2121" t="str">
        <f>IF(OR($O2072=$M2072,$O2072=0,$O2072=""),"","*CHECK!*")</f>
        <v/>
      </c>
      <c r="R2072" s="1828" t="s">
        <v>2667</v>
      </c>
      <c r="S2072" s="2138"/>
      <c r="T2072" s="2138"/>
      <c r="U2072" s="2138"/>
      <c r="V2072" s="2138"/>
      <c r="W2072" s="2138"/>
      <c r="X2072" s="2138"/>
    </row>
    <row r="2073" spans="1:24" ht="15" customHeight="1">
      <c r="A2073" s="2190"/>
      <c r="B2073" s="2031" t="s">
        <v>3988</v>
      </c>
      <c r="C2073" s="2031"/>
      <c r="D2073" s="2031"/>
      <c r="E2073" s="2031"/>
      <c r="F2073" s="2031"/>
      <c r="G2073" s="2031"/>
      <c r="H2073" s="2031"/>
      <c r="I2073" s="2031"/>
      <c r="J2073" s="2031"/>
      <c r="K2073" s="2031"/>
      <c r="L2073" s="2031"/>
      <c r="M2073" s="1852" t="s">
        <v>5110</v>
      </c>
      <c r="N2073" s="1852"/>
      <c r="O2073" s="2138"/>
      <c r="P2073" s="2138"/>
      <c r="Q2073" s="1786"/>
      <c r="R2073" s="2138"/>
      <c r="S2073" s="2138"/>
      <c r="T2073" s="2138"/>
      <c r="U2073" s="2138"/>
      <c r="V2073" s="2138"/>
      <c r="W2073" s="2138"/>
      <c r="X2073" s="2138"/>
    </row>
    <row r="2074" spans="1:24" ht="14.4">
      <c r="A2074" s="2138"/>
      <c r="B2074" s="2031"/>
      <c r="C2074" s="2031"/>
      <c r="D2074" s="2031"/>
      <c r="E2074" s="2031"/>
      <c r="F2074" s="2031"/>
      <c r="G2074" s="2031"/>
      <c r="H2074" s="2031"/>
      <c r="I2074" s="2031"/>
      <c r="J2074" s="2031"/>
      <c r="K2074" s="2031"/>
      <c r="L2074" s="2031"/>
      <c r="M2074" s="1852"/>
      <c r="N2074" s="1852"/>
      <c r="O2074" s="2021">
        <f>'Part VI-Revenues &amp; Expenses'!$O$111</f>
        <v>0</v>
      </c>
      <c r="P2074" s="2021"/>
      <c r="Q2074" s="1786"/>
      <c r="R2074" s="2138"/>
      <c r="S2074" s="2138"/>
      <c r="T2074" s="2138"/>
      <c r="U2074" s="2138"/>
      <c r="V2074" s="2138"/>
      <c r="W2074" s="2138"/>
      <c r="X2074" s="2138"/>
    </row>
    <row r="2075" spans="1:24" ht="14.4">
      <c r="A2075" s="2138"/>
      <c r="B2075" s="2031"/>
      <c r="C2075" s="2031"/>
      <c r="D2075" s="2031"/>
      <c r="E2075" s="2031"/>
      <c r="F2075" s="2031"/>
      <c r="G2075" s="2031"/>
      <c r="H2075" s="2031"/>
      <c r="I2075" s="2031"/>
      <c r="J2075" s="2031"/>
      <c r="K2075" s="2031"/>
      <c r="L2075" s="2031"/>
      <c r="M2075" s="1828" t="s">
        <v>2777</v>
      </c>
      <c r="N2075" s="2190"/>
      <c r="O2075" s="2021">
        <f>'Part VI-Revenues &amp; Expenses'!$O$67</f>
        <v>84</v>
      </c>
      <c r="P2075" s="2021"/>
      <c r="Q2075" s="1786"/>
      <c r="R2075" s="2138"/>
      <c r="S2075" s="2138"/>
      <c r="T2075" s="2138"/>
      <c r="U2075" s="2138"/>
      <c r="V2075" s="2138"/>
      <c r="W2075" s="2138"/>
      <c r="X2075" s="2138"/>
    </row>
    <row r="2076" spans="1:24" ht="14.4">
      <c r="A2076" s="2138"/>
      <c r="B2076" s="2031"/>
      <c r="C2076" s="2031"/>
      <c r="D2076" s="2031"/>
      <c r="E2076" s="2031"/>
      <c r="F2076" s="2031"/>
      <c r="G2076" s="2031"/>
      <c r="H2076" s="2031"/>
      <c r="I2076" s="2031"/>
      <c r="J2076" s="2031"/>
      <c r="K2076" s="2031"/>
      <c r="L2076" s="2031"/>
      <c r="M2076" s="1828" t="s">
        <v>2778</v>
      </c>
      <c r="N2076" s="2190"/>
      <c r="O2076" s="2249">
        <f>IF(O2075=0,0,O2074/O2075)</f>
        <v>0</v>
      </c>
      <c r="P2076" s="2249"/>
      <c r="Q2076" s="1786"/>
      <c r="R2076" s="2138"/>
      <c r="S2076" s="2138"/>
      <c r="T2076" s="2138"/>
      <c r="U2076" s="2138"/>
      <c r="V2076" s="2138"/>
      <c r="W2076" s="2138"/>
      <c r="X2076" s="2138"/>
    </row>
    <row r="2077" spans="1:24" ht="15.75" customHeight="1">
      <c r="A2077" s="2025"/>
      <c r="B2077" s="1852" t="str">
        <f>'Part IX Scoring Criteria'!B429</f>
        <v>&lt;&lt; Enter here Applicant's Narrative of how building will be reused. Adjust row height as needed. &gt;&gt;</v>
      </c>
      <c r="C2077" s="1852">
        <f>'Part IX Scoring Criteria'!C429</f>
        <v>0</v>
      </c>
      <c r="D2077" s="1852">
        <f>'Part IX Scoring Criteria'!D429</f>
        <v>0</v>
      </c>
      <c r="E2077" s="1852">
        <f>'Part IX Scoring Criteria'!E429</f>
        <v>0</v>
      </c>
      <c r="F2077" s="1852">
        <f>'Part IX Scoring Criteria'!F429</f>
        <v>0</v>
      </c>
      <c r="G2077" s="1852">
        <f>'Part IX Scoring Criteria'!G429</f>
        <v>0</v>
      </c>
      <c r="H2077" s="1852">
        <f>'Part IX Scoring Criteria'!H429</f>
        <v>0</v>
      </c>
      <c r="I2077" s="1852">
        <f>'Part IX Scoring Criteria'!I429</f>
        <v>0</v>
      </c>
      <c r="J2077" s="1852">
        <f>'Part IX Scoring Criteria'!J429</f>
        <v>0</v>
      </c>
      <c r="K2077" s="1852">
        <f>'Part IX Scoring Criteria'!K429</f>
        <v>0</v>
      </c>
      <c r="L2077" s="1852">
        <f>'Part IX Scoring Criteria'!L429</f>
        <v>0</v>
      </c>
      <c r="M2077" s="1852">
        <f>'Part IX Scoring Criteria'!M429</f>
        <v>0</v>
      </c>
      <c r="N2077" s="1852">
        <f>'Part IX Scoring Criteria'!N429</f>
        <v>0</v>
      </c>
      <c r="O2077" s="1852">
        <f>'Part IX Scoring Criteria'!O429</f>
        <v>0</v>
      </c>
      <c r="P2077" s="1852">
        <f>'Part IX Scoring Criteria'!P429</f>
        <v>0</v>
      </c>
      <c r="Q2077" s="2065" t="s">
        <v>1239</v>
      </c>
      <c r="R2077" s="2065"/>
      <c r="S2077" s="2065"/>
      <c r="T2077" s="1315"/>
      <c r="U2077" s="1315"/>
      <c r="V2077" s="1315"/>
      <c r="W2077" s="1315"/>
      <c r="X2077" s="1315"/>
    </row>
    <row r="2078" spans="1:24" ht="14.4">
      <c r="A2078" s="1314"/>
      <c r="B2078" s="2136"/>
      <c r="C2078" s="2138"/>
      <c r="D2078" s="2138"/>
      <c r="E2078" s="2138"/>
      <c r="F2078" s="2096"/>
      <c r="G2078" s="1958"/>
      <c r="H2078" s="2138"/>
      <c r="I2078" s="2138"/>
      <c r="J2078" s="2138"/>
      <c r="K2078" s="2138"/>
      <c r="L2078" s="2138"/>
      <c r="M2078" s="2190"/>
      <c r="N2078" s="2190"/>
      <c r="O2078" s="2190"/>
      <c r="P2078" s="2190"/>
      <c r="Q2078" s="1786"/>
      <c r="R2078" s="2138"/>
      <c r="S2078" s="2138"/>
      <c r="T2078" s="2138"/>
      <c r="U2078" s="2138"/>
      <c r="V2078" s="2138"/>
      <c r="W2078" s="2138"/>
      <c r="X2078" s="2138"/>
    </row>
    <row r="2079" spans="1:24" ht="14.4">
      <c r="A2079" s="2250" t="s">
        <v>5111</v>
      </c>
      <c r="B2079" s="2061" t="s">
        <v>3300</v>
      </c>
      <c r="C2079" s="2061"/>
      <c r="D2079" s="2138"/>
      <c r="E2079" s="2138"/>
      <c r="F2079" s="2138"/>
      <c r="G2079" s="2138"/>
      <c r="H2079" s="2061"/>
      <c r="I2079" s="2138"/>
      <c r="J2079" s="2138"/>
      <c r="K2079" s="2138"/>
      <c r="L2079" s="2138"/>
      <c r="M2079" s="2190">
        <v>2</v>
      </c>
      <c r="N2079" s="2095" t="s">
        <v>1959</v>
      </c>
      <c r="O2079" s="2028">
        <f>'Part IX Scoring Criteria'!O431</f>
        <v>0</v>
      </c>
      <c r="P2079" s="2028"/>
      <c r="Q2079" s="2121" t="str">
        <f>IF(OR($O2079=$M2079,$O2079=0,$O2079=""),"","*CHECK!*")</f>
        <v/>
      </c>
      <c r="R2079" s="1828" t="s">
        <v>2667</v>
      </c>
      <c r="S2079" s="2138"/>
      <c r="T2079" s="2138"/>
      <c r="U2079" s="2138"/>
      <c r="V2079" s="2138"/>
      <c r="W2079" s="2138"/>
      <c r="X2079" s="2138"/>
    </row>
    <row r="2080" spans="1:24" ht="15" customHeight="1">
      <c r="A2080" s="2250"/>
      <c r="B2080" s="2064" t="s">
        <v>4800</v>
      </c>
      <c r="C2080" s="2064"/>
      <c r="D2080" s="2064"/>
      <c r="E2080" s="2064"/>
      <c r="F2080" s="2064"/>
      <c r="G2080" s="2064"/>
      <c r="H2080" s="2064"/>
      <c r="I2080" s="2064"/>
      <c r="J2080" s="2064"/>
      <c r="K2080" s="2064"/>
      <c r="L2080" s="2064"/>
      <c r="M2080" s="2037" t="s">
        <v>4564</v>
      </c>
      <c r="N2080" s="2138"/>
      <c r="O2080" s="2021">
        <f>'Part VI-Revenues &amp; Expenses'!$O$113</f>
        <v>0</v>
      </c>
      <c r="P2080" s="2021"/>
      <c r="Q2080" s="1786"/>
      <c r="R2080" s="2138"/>
      <c r="S2080" s="2138"/>
      <c r="T2080" s="2138"/>
      <c r="U2080" s="2138"/>
      <c r="V2080" s="2138"/>
      <c r="W2080" s="2138"/>
      <c r="X2080" s="2138"/>
    </row>
    <row r="2081" spans="1:24" ht="14.4">
      <c r="A2081" s="2250"/>
      <c r="B2081" s="2064"/>
      <c r="C2081" s="2064"/>
      <c r="D2081" s="2064"/>
      <c r="E2081" s="2064"/>
      <c r="F2081" s="2064"/>
      <c r="G2081" s="2064"/>
      <c r="H2081" s="2064"/>
      <c r="I2081" s="2064"/>
      <c r="J2081" s="2064"/>
      <c r="K2081" s="2064"/>
      <c r="L2081" s="2064"/>
      <c r="M2081" s="2251" t="s">
        <v>2777</v>
      </c>
      <c r="N2081" s="2190"/>
      <c r="O2081" s="2021">
        <f>'Part VI-Revenues &amp; Expenses'!$O$67</f>
        <v>84</v>
      </c>
      <c r="P2081" s="2021"/>
      <c r="Q2081" s="1786"/>
      <c r="R2081" s="2138"/>
      <c r="S2081" s="2138"/>
      <c r="T2081" s="2138"/>
      <c r="U2081" s="2138"/>
      <c r="V2081" s="2138"/>
      <c r="W2081" s="2138"/>
      <c r="X2081" s="2138"/>
    </row>
    <row r="2082" spans="1:24" ht="14.4">
      <c r="A2082" s="2250"/>
      <c r="B2082" s="2064"/>
      <c r="C2082" s="2064"/>
      <c r="D2082" s="2064"/>
      <c r="E2082" s="2064"/>
      <c r="F2082" s="2064"/>
      <c r="G2082" s="2064"/>
      <c r="H2082" s="2064"/>
      <c r="I2082" s="2064"/>
      <c r="J2082" s="2064"/>
      <c r="K2082" s="2064"/>
      <c r="L2082" s="2064"/>
      <c r="M2082" s="1828" t="s">
        <v>2778</v>
      </c>
      <c r="N2082" s="2190"/>
      <c r="O2082" s="2249">
        <f>IF(O2081=0,0,L2068/O2081)</f>
        <v>0</v>
      </c>
      <c r="P2082" s="2249"/>
      <c r="Q2082" s="1786"/>
      <c r="R2082" s="2138"/>
      <c r="S2082" s="2138"/>
      <c r="T2082" s="2138"/>
      <c r="U2082" s="2138"/>
      <c r="V2082" s="2138"/>
      <c r="W2082" s="2138"/>
      <c r="X2082" s="2138"/>
    </row>
    <row r="2083" spans="1:24" ht="14.4">
      <c r="A2083" s="1311"/>
      <c r="B2083" s="1997" t="s">
        <v>3645</v>
      </c>
      <c r="C2083" s="1311"/>
      <c r="D2083" s="1957"/>
      <c r="E2083" s="1957"/>
      <c r="F2083" s="1957"/>
      <c r="G2083" s="1957"/>
      <c r="H2083" s="457"/>
      <c r="I2083" s="457"/>
      <c r="J2083" s="457"/>
      <c r="K2083" s="457"/>
      <c r="L2083" s="1315"/>
      <c r="M2083" s="1955"/>
      <c r="N2083" s="1953"/>
      <c r="O2083" s="2028"/>
      <c r="P2083" s="1953"/>
      <c r="Q2083" s="1315"/>
      <c r="R2083" s="1315"/>
      <c r="S2083" s="1315"/>
      <c r="T2083" s="1315"/>
      <c r="U2083" s="1315"/>
      <c r="V2083" s="1315"/>
      <c r="W2083" s="1315"/>
      <c r="X2083" s="1315"/>
    </row>
    <row r="2084" spans="1:24" ht="51">
      <c r="A2084" s="2064" t="str">
        <f>'Part IX Scoring Criteria'!A436</f>
        <v>The applicant is not eligible for points in this category.</v>
      </c>
      <c r="B2084" s="2064"/>
      <c r="C2084" s="2064"/>
      <c r="D2084" s="2064"/>
      <c r="E2084" s="2064"/>
      <c r="F2084" s="2064"/>
      <c r="G2084" s="2064"/>
      <c r="H2084" s="2064"/>
      <c r="I2084" s="2064"/>
      <c r="J2084" s="2064"/>
      <c r="K2084" s="2064"/>
      <c r="L2084" s="2064"/>
      <c r="M2084" s="2064"/>
      <c r="N2084" s="2064"/>
      <c r="O2084" s="2064"/>
      <c r="P2084" s="2064"/>
      <c r="Q2084" s="2065" t="s">
        <v>1239</v>
      </c>
      <c r="R2084" s="2065"/>
      <c r="S2084" s="1315"/>
      <c r="T2084" s="1315"/>
      <c r="U2084" s="1315"/>
      <c r="V2084" s="1315"/>
      <c r="W2084" s="1315"/>
      <c r="X2084" s="1315"/>
    </row>
    <row r="2085" spans="1:24" ht="14.4">
      <c r="A2085" s="1315"/>
      <c r="B2085" s="2066" t="s">
        <v>1841</v>
      </c>
      <c r="C2085" s="1311"/>
      <c r="D2085" s="2066"/>
      <c r="E2085" s="2068"/>
      <c r="F2085" s="2068"/>
      <c r="G2085" s="2068"/>
      <c r="H2085" s="2068"/>
      <c r="I2085" s="2068"/>
      <c r="J2085" s="2068"/>
      <c r="K2085" s="2068"/>
      <c r="L2085" s="2068"/>
      <c r="M2085" s="2068"/>
      <c r="N2085" s="2144"/>
      <c r="O2085" s="2144"/>
      <c r="P2085" s="1955"/>
      <c r="Q2085" s="2123"/>
      <c r="R2085" s="1315"/>
      <c r="S2085" s="1315"/>
      <c r="T2085" s="1315"/>
      <c r="U2085" s="1315"/>
      <c r="V2085" s="1315"/>
      <c r="W2085" s="1315"/>
      <c r="X2085" s="1315"/>
    </row>
    <row r="2086" spans="1:24" ht="15">
      <c r="A2086" s="2064"/>
      <c r="B2086" s="2064"/>
      <c r="C2086" s="2064"/>
      <c r="D2086" s="2064"/>
      <c r="E2086" s="2064"/>
      <c r="F2086" s="2064"/>
      <c r="G2086" s="2064"/>
      <c r="H2086" s="2064"/>
      <c r="I2086" s="2064"/>
      <c r="J2086" s="2064"/>
      <c r="K2086" s="2064"/>
      <c r="L2086" s="2064"/>
      <c r="M2086" s="2064"/>
      <c r="N2086" s="2064"/>
      <c r="O2086" s="2064"/>
      <c r="P2086" s="2064"/>
      <c r="Q2086" s="2065"/>
      <c r="R2086" s="1315"/>
      <c r="S2086" s="1315"/>
      <c r="T2086" s="1315"/>
      <c r="U2086" s="1315"/>
      <c r="V2086" s="1315"/>
      <c r="W2086" s="1315"/>
      <c r="X2086" s="1315"/>
    </row>
    <row r="2087" spans="1:24" ht="14.4">
      <c r="A2087" s="1311"/>
      <c r="B2087" s="1311"/>
      <c r="C2087" s="2068"/>
      <c r="D2087" s="2068"/>
      <c r="E2087" s="2068"/>
      <c r="F2087" s="2068"/>
      <c r="G2087" s="2068"/>
      <c r="H2087" s="2068"/>
      <c r="I2087" s="2068"/>
      <c r="J2087" s="2068"/>
      <c r="K2087" s="2068"/>
      <c r="L2087" s="2068"/>
      <c r="M2087" s="2068"/>
      <c r="N2087" s="2144"/>
      <c r="O2087" s="2144"/>
      <c r="P2087" s="1955"/>
      <c r="Q2087" s="1315"/>
      <c r="R2087" s="1315"/>
      <c r="S2087" s="1315"/>
      <c r="T2087" s="1315"/>
      <c r="U2087" s="1315"/>
      <c r="V2087" s="1315"/>
      <c r="W2087" s="1315"/>
      <c r="X2087" s="1315"/>
    </row>
    <row r="2088" spans="1:24" ht="14.4">
      <c r="A2088" s="2239" t="s">
        <v>3916</v>
      </c>
      <c r="B2088" s="1995" t="s">
        <v>1652</v>
      </c>
      <c r="C2088" s="2122"/>
      <c r="D2088" s="1997"/>
      <c r="E2088" s="1997"/>
      <c r="F2088" s="457"/>
      <c r="G2088" s="457"/>
      <c r="H2088" s="2122"/>
      <c r="I2088" s="457"/>
      <c r="J2088" s="457"/>
      <c r="K2088" s="457"/>
      <c r="L2088" s="2142" t="str">
        <f>IF(OR($O2088=$M2088,$O2088&lt;=0,$O2088=""),"","* * Check Score! * *")</f>
        <v/>
      </c>
      <c r="M2088" s="1955">
        <v>10</v>
      </c>
      <c r="N2088" s="1955"/>
      <c r="O2088" s="2028">
        <f>'Part IX Scoring Criteria'!O440</f>
        <v>10</v>
      </c>
      <c r="P2088" s="2028">
        <f>MIN($M$440,P2090-P2091+P2092)</f>
        <v>10</v>
      </c>
      <c r="Q2088" s="1955" t="s">
        <v>437</v>
      </c>
      <c r="R2088" s="2122"/>
      <c r="S2088" s="2122"/>
      <c r="T2088" s="2122"/>
      <c r="U2088" s="2122"/>
      <c r="V2088" s="2122"/>
      <c r="W2088" s="2122"/>
      <c r="X2088" s="2122"/>
    </row>
    <row r="2089" spans="1:24" ht="14.4">
      <c r="A2089" s="2239"/>
      <c r="B2089" s="1995"/>
      <c r="C2089" s="2122"/>
      <c r="D2089" s="1997"/>
      <c r="E2089" s="1997"/>
      <c r="F2089" s="457"/>
      <c r="G2089" s="457"/>
      <c r="H2089" s="2122"/>
      <c r="I2089" s="457"/>
      <c r="J2089" s="457"/>
      <c r="K2089" s="457"/>
      <c r="L2089" s="2142"/>
      <c r="M2089" s="1955"/>
      <c r="N2089" s="1955"/>
      <c r="O2089" s="1955"/>
      <c r="P2089" s="1955"/>
      <c r="Q2089" s="1955"/>
      <c r="R2089" s="2122"/>
      <c r="S2089" s="2122"/>
      <c r="T2089" s="2122"/>
      <c r="U2089" s="2122"/>
      <c r="V2089" s="2122"/>
      <c r="W2089" s="2122"/>
      <c r="X2089" s="2122"/>
    </row>
    <row r="2090" spans="1:24" ht="14.4">
      <c r="A2090" s="2239"/>
      <c r="B2090" s="457" t="s">
        <v>3558</v>
      </c>
      <c r="C2090" s="2122"/>
      <c r="D2090" s="1997"/>
      <c r="E2090" s="1997"/>
      <c r="F2090" s="457"/>
      <c r="G2090" s="457"/>
      <c r="H2090" s="2122"/>
      <c r="I2090" s="457"/>
      <c r="J2090" s="457"/>
      <c r="K2090" s="457"/>
      <c r="L2090" s="2142"/>
      <c r="M2090" s="1955"/>
      <c r="N2090" s="1955"/>
      <c r="O2090" s="2028">
        <f>'Part IX Scoring Criteria'!O442</f>
        <v>10</v>
      </c>
      <c r="P2090" s="2028">
        <v>10</v>
      </c>
      <c r="Q2090" s="1955"/>
      <c r="R2090" s="2122"/>
      <c r="S2090" s="2122"/>
      <c r="T2090" s="2122"/>
      <c r="U2090" s="2122"/>
      <c r="V2090" s="2122"/>
      <c r="W2090" s="2122"/>
      <c r="X2090" s="2122"/>
    </row>
    <row r="2091" spans="1:24" ht="14.4">
      <c r="A2091" s="2239"/>
      <c r="B2091" s="457" t="s">
        <v>3559</v>
      </c>
      <c r="C2091" s="2122"/>
      <c r="D2091" s="1997"/>
      <c r="E2091" s="1997"/>
      <c r="F2091" s="457"/>
      <c r="G2091" s="457"/>
      <c r="H2091" s="2122"/>
      <c r="I2091" s="457"/>
      <c r="J2091" s="457"/>
      <c r="K2091" s="457"/>
      <c r="L2091" s="2142"/>
      <c r="M2091" s="1955"/>
      <c r="N2091" s="1955"/>
      <c r="O2091" s="2028">
        <f>'Part IX Scoring Criteria'!O443</f>
        <v>0</v>
      </c>
      <c r="P2091" s="2028"/>
      <c r="Q2091" s="1955"/>
      <c r="R2091" s="2122"/>
      <c r="S2091" s="2122"/>
      <c r="T2091" s="2122"/>
      <c r="U2091" s="2122"/>
      <c r="V2091" s="2122"/>
      <c r="W2091" s="2122"/>
      <c r="X2091" s="2122"/>
    </row>
    <row r="2092" spans="1:24" ht="14.4">
      <c r="A2092" s="2239"/>
      <c r="B2092" s="457" t="s">
        <v>3560</v>
      </c>
      <c r="C2092" s="2122"/>
      <c r="D2092" s="1997"/>
      <c r="E2092" s="1997"/>
      <c r="F2092" s="457"/>
      <c r="G2092" s="457"/>
      <c r="H2092" s="2122"/>
      <c r="I2092" s="457"/>
      <c r="J2092" s="457"/>
      <c r="K2092" s="457"/>
      <c r="L2092" s="2142"/>
      <c r="M2092" s="1955"/>
      <c r="N2092" s="1955"/>
      <c r="O2092" s="2028">
        <f>'Part IX Scoring Criteria'!O444</f>
        <v>0</v>
      </c>
      <c r="P2092" s="2028"/>
      <c r="Q2092" s="1955"/>
      <c r="R2092" s="2122"/>
      <c r="S2092" s="2122"/>
      <c r="T2092" s="2122"/>
      <c r="U2092" s="2122"/>
      <c r="V2092" s="2122"/>
      <c r="W2092" s="2122"/>
      <c r="X2092" s="2122"/>
    </row>
    <row r="2093" spans="1:24" ht="14.4">
      <c r="A2093" s="1997"/>
      <c r="B2093" s="1997" t="s">
        <v>1841</v>
      </c>
      <c r="C2093" s="1311"/>
      <c r="D2093" s="1997"/>
      <c r="E2093" s="1994"/>
      <c r="F2093" s="1994"/>
      <c r="G2093" s="1994"/>
      <c r="H2093" s="1994"/>
      <c r="I2093" s="1994"/>
      <c r="J2093" s="1994"/>
      <c r="K2093" s="1994"/>
      <c r="L2093" s="1994"/>
      <c r="M2093" s="1994"/>
      <c r="N2093" s="1967"/>
      <c r="O2093" s="1967"/>
      <c r="P2093" s="1955"/>
      <c r="Q2093" s="2122"/>
      <c r="R2093" s="2122"/>
      <c r="S2093" s="2122"/>
      <c r="T2093" s="2122"/>
      <c r="U2093" s="2122"/>
      <c r="V2093" s="2122"/>
      <c r="W2093" s="2122"/>
      <c r="X2093" s="2122"/>
    </row>
    <row r="2094" spans="1:24" ht="15">
      <c r="A2094" s="2064"/>
      <c r="B2094" s="2064"/>
      <c r="C2094" s="2064"/>
      <c r="D2094" s="2064"/>
      <c r="E2094" s="2064"/>
      <c r="F2094" s="2064"/>
      <c r="G2094" s="2064"/>
      <c r="H2094" s="2064"/>
      <c r="I2094" s="2064"/>
      <c r="J2094" s="2064"/>
      <c r="K2094" s="2064"/>
      <c r="L2094" s="2064"/>
      <c r="M2094" s="2064"/>
      <c r="N2094" s="2064"/>
      <c r="O2094" s="2064"/>
      <c r="P2094" s="2064"/>
      <c r="Q2094" s="2065"/>
      <c r="R2094" s="2065"/>
      <c r="S2094" s="1315"/>
      <c r="T2094" s="1315"/>
      <c r="U2094" s="1315"/>
      <c r="V2094" s="1315"/>
      <c r="W2094" s="1315"/>
      <c r="X2094" s="1315"/>
    </row>
    <row r="2095" spans="1:24" ht="14.4">
      <c r="A2095" s="2239"/>
      <c r="B2095" s="1311"/>
      <c r="C2095" s="2068"/>
      <c r="D2095" s="2068"/>
      <c r="E2095" s="2068"/>
      <c r="F2095" s="2068"/>
      <c r="G2095" s="2068"/>
      <c r="H2095" s="2068"/>
      <c r="I2095" s="2068"/>
      <c r="J2095" s="2068"/>
      <c r="K2095" s="2068"/>
      <c r="L2095" s="2068"/>
      <c r="M2095" s="2068"/>
      <c r="N2095" s="2144"/>
      <c r="O2095" s="2144"/>
      <c r="P2095" s="1955"/>
      <c r="Q2095" s="1315"/>
      <c r="R2095" s="1315"/>
      <c r="S2095" s="1315"/>
      <c r="T2095" s="1315"/>
      <c r="U2095" s="1315"/>
      <c r="V2095" s="1315"/>
      <c r="W2095" s="1315"/>
      <c r="X2095" s="1315"/>
    </row>
    <row r="2096" spans="1:24" ht="14.4">
      <c r="A2096" s="2239"/>
      <c r="B2096" s="2252"/>
      <c r="C2096" s="1311"/>
      <c r="F2096" s="1315"/>
      <c r="G2096" s="2131" t="s">
        <v>423</v>
      </c>
      <c r="H2096" s="1311"/>
      <c r="I2096" s="2131"/>
      <c r="J2096" s="2131"/>
      <c r="K2096" s="2131"/>
      <c r="L2096" s="2122"/>
      <c r="M2096" s="2253">
        <f>M1670+M1695+M1709+M1719+M1755+M1801+M1837+M1876+M1925+M1946+M1954+M1977+M1990+M2007+M2017+M2032+M2068+M2088</f>
        <v>92</v>
      </c>
      <c r="N2096" s="2253"/>
      <c r="O2096" s="2253">
        <f>'Part IX Scoring Criteria'!O448</f>
        <v>56</v>
      </c>
      <c r="P2096" s="2253">
        <f>-P1656+P1670+P1695+P1709+P1719+P1755+P1801+P1837+P1876+P1925+P1946+P1954+P1977+P1990+P2007+P2017+P2032+P2068+P2088</f>
        <v>20</v>
      </c>
      <c r="Q2096" s="1311"/>
      <c r="R2096" s="1311"/>
      <c r="S2096" s="1311"/>
      <c r="T2096" s="1311"/>
      <c r="U2096" s="1311"/>
      <c r="V2096" s="1311"/>
      <c r="W2096" s="1311"/>
      <c r="X2096" s="1311"/>
    </row>
    <row r="2097" spans="1:24" ht="15">
      <c r="A2097" s="1315"/>
      <c r="B2097" s="2252"/>
      <c r="C2097" s="1315"/>
      <c r="F2097" s="2150"/>
      <c r="G2097" s="2150"/>
      <c r="H2097" s="1957" t="s">
        <v>3985</v>
      </c>
      <c r="I2097" s="1311"/>
      <c r="J2097" s="1860"/>
      <c r="K2097" s="1860"/>
      <c r="L2097" s="1315"/>
      <c r="N2097" s="1955"/>
      <c r="O2097" s="1955"/>
      <c r="P2097" s="2164">
        <f>P1876</f>
        <v>0</v>
      </c>
      <c r="Q2097" s="1311"/>
      <c r="R2097" s="1311"/>
      <c r="S2097" s="1311"/>
      <c r="T2097" s="1311"/>
      <c r="U2097" s="1311"/>
      <c r="V2097" s="1311"/>
      <c r="W2097" s="1311"/>
      <c r="X2097" s="1311"/>
    </row>
    <row r="2098" spans="1:24" ht="15">
      <c r="A2098" s="1315"/>
      <c r="B2098" s="2252"/>
      <c r="C2098" s="1315"/>
      <c r="F2098" s="2150"/>
      <c r="G2098" s="2150"/>
      <c r="H2098" s="1957" t="s">
        <v>3986</v>
      </c>
      <c r="I2098" s="1311"/>
      <c r="J2098" s="1860"/>
      <c r="K2098" s="1860"/>
      <c r="L2098" s="1315"/>
      <c r="N2098" s="1955"/>
      <c r="O2098" s="2164"/>
      <c r="P2098" s="2164">
        <f>P1990</f>
        <v>0</v>
      </c>
      <c r="Q2098" s="1311"/>
      <c r="R2098" s="1311"/>
      <c r="S2098" s="1311"/>
      <c r="T2098" s="1311"/>
      <c r="U2098" s="1311"/>
      <c r="V2098" s="1311"/>
      <c r="W2098" s="1311"/>
      <c r="X2098" s="1311"/>
    </row>
    <row r="2099" spans="1:24" ht="14.4">
      <c r="A2099" s="1311"/>
      <c r="B2099" s="1315"/>
      <c r="C2099" s="1315"/>
      <c r="D2099" s="457"/>
      <c r="E2099" s="457"/>
      <c r="F2099" s="1955"/>
      <c r="G2099" s="1315"/>
      <c r="H2099" s="1957" t="s">
        <v>3990</v>
      </c>
      <c r="I2099" s="1955"/>
      <c r="J2099" s="2009"/>
      <c r="K2099" s="2009"/>
      <c r="L2099" s="2009"/>
      <c r="M2099" s="1314"/>
      <c r="N2099" s="1955"/>
      <c r="O2099" s="1953"/>
      <c r="P2099" s="2028">
        <f>P2096-P2097-P2098</f>
        <v>20</v>
      </c>
      <c r="Q2099" s="1315"/>
      <c r="R2099" s="1315"/>
      <c r="S2099" s="1315"/>
      <c r="T2099" s="1315"/>
      <c r="U2099" s="1315"/>
      <c r="V2099" s="1315"/>
      <c r="W2099" s="1315"/>
      <c r="X2099" s="1315"/>
    </row>
    <row r="2100" spans="1:24" ht="15">
      <c r="A2100" s="1315"/>
      <c r="B2100" s="2252"/>
      <c r="C2100" s="1315"/>
      <c r="F2100" s="2009"/>
      <c r="G2100" s="2009"/>
      <c r="H2100" s="2150"/>
      <c r="I2100" s="2150"/>
      <c r="J2100" s="1860"/>
      <c r="K2100" s="1860"/>
      <c r="L2100" s="1315"/>
      <c r="N2100" s="1955"/>
      <c r="O2100" s="1955"/>
      <c r="P2100" s="2028"/>
    </row>
    <row r="2101" spans="1:24" ht="15" customHeight="1">
      <c r="A2101" s="2254" t="s">
        <v>3587</v>
      </c>
      <c r="B2101" s="2254"/>
      <c r="C2101" s="2254"/>
      <c r="D2101" s="2254"/>
      <c r="E2101" s="2254"/>
      <c r="F2101" s="2254"/>
      <c r="G2101" s="2254"/>
      <c r="H2101" s="2254"/>
      <c r="I2101" s="2254"/>
      <c r="J2101" s="2254"/>
      <c r="K2101" s="2254"/>
      <c r="L2101" s="2254"/>
      <c r="M2101" s="2254"/>
      <c r="N2101" s="2254"/>
      <c r="O2101" s="2254"/>
      <c r="P2101" s="2254"/>
      <c r="Q2101" s="1315"/>
      <c r="R2101" s="1315"/>
      <c r="S2101" s="1315"/>
      <c r="T2101" s="1315"/>
      <c r="U2101" s="1315"/>
      <c r="V2101" s="1315"/>
      <c r="W2101" s="1315"/>
      <c r="X2101" s="1315"/>
    </row>
    <row r="2102" spans="1:24" ht="15">
      <c r="A2102" s="2064">
        <f>'Part IX Scoring Criteria'!A454</f>
        <v>0</v>
      </c>
      <c r="B2102" s="2064"/>
      <c r="C2102" s="2064"/>
      <c r="D2102" s="2064"/>
      <c r="E2102" s="2064"/>
      <c r="F2102" s="2064"/>
      <c r="G2102" s="2064"/>
      <c r="H2102" s="2064"/>
      <c r="I2102" s="2064"/>
      <c r="J2102" s="2064"/>
      <c r="K2102" s="2064"/>
      <c r="L2102" s="2064"/>
      <c r="M2102" s="2064"/>
      <c r="N2102" s="2064"/>
      <c r="O2102" s="2064"/>
      <c r="P2102" s="2064"/>
      <c r="Q2102" s="2065" t="s">
        <v>1239</v>
      </c>
      <c r="R2102" s="2065"/>
      <c r="S2102" s="1315"/>
      <c r="T2102" s="1315"/>
      <c r="U2102" s="1315"/>
      <c r="V2102" s="1315"/>
      <c r="W2102" s="1315"/>
      <c r="X2102" s="1315"/>
    </row>
  </sheetData>
  <sheetProtection algorithmName="SHA-512" hashValue="eg5VovLg54fhJKU/Y7jmmC91BkMDlcTVpHghoZIL8T1PmzeoZ5LZOffTcWdvLfiCyvTyqFEh7Q3QCFOnImqMIQ==" saltValue="c32KuDu08zAbFbsPJ8UUhg==" spinCount="100000" sheet="1" objects="1" scenarios="1" selectLockedCells="1" selectUnlockedCells="1"/>
  <conditionalFormatting sqref="B415:D417">
    <cfRule type="cellIs" dxfId="89" priority="106" stopIfTrue="1" operator="equal">
      <formula>"Make a selection FIRST --&gt;"</formula>
    </cfRule>
  </conditionalFormatting>
  <conditionalFormatting sqref="J423">
    <cfRule type="cellIs" dxfId="88" priority="105" operator="equal">
      <formula>"No"</formula>
    </cfRule>
  </conditionalFormatting>
  <conditionalFormatting sqref="J421">
    <cfRule type="cellIs" dxfId="87" priority="104" operator="equal">
      <formula>"No"</formula>
    </cfRule>
  </conditionalFormatting>
  <conditionalFormatting sqref="D420">
    <cfRule type="cellIs" dxfId="86" priority="103" operator="greaterThan">
      <formula>50.000001%</formula>
    </cfRule>
  </conditionalFormatting>
  <conditionalFormatting sqref="P422:Q422">
    <cfRule type="cellIs" dxfId="85" priority="102" operator="notEqual">
      <formula>0</formula>
    </cfRule>
  </conditionalFormatting>
  <conditionalFormatting sqref="J620:L620">
    <cfRule type="cellIs" dxfId="84"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83" priority="99" stopIfTrue="1" operator="greaterThan">
      <formula>$E480</formula>
    </cfRule>
  </conditionalFormatting>
  <conditionalFormatting sqref="J480:J482">
    <cfRule type="cellIs" dxfId="82" priority="94" stopIfTrue="1" operator="greaterThan">
      <formula>$E480</formula>
    </cfRule>
  </conditionalFormatting>
  <conditionalFormatting sqref="M480:M482">
    <cfRule type="cellIs" dxfId="81" priority="93" stopIfTrue="1" operator="greaterThan">
      <formula>$E480</formula>
    </cfRule>
  </conditionalFormatting>
  <conditionalFormatting sqref="P480:P482">
    <cfRule type="cellIs" dxfId="80" priority="92" stopIfTrue="1" operator="greaterThan">
      <formula>$E480</formula>
    </cfRule>
  </conditionalFormatting>
  <conditionalFormatting sqref="S480:S482">
    <cfRule type="cellIs" dxfId="79" priority="91" stopIfTrue="1" operator="greaterThan">
      <formula>$E480</formula>
    </cfRule>
  </conditionalFormatting>
  <conditionalFormatting sqref="I732:M732">
    <cfRule type="cellIs" dxfId="78" priority="90" operator="equal">
      <formula>"""&lt;&lt;Select Fuel &gt;&gt;"""</formula>
    </cfRule>
  </conditionalFormatting>
  <conditionalFormatting sqref="I732:M732">
    <cfRule type="cellIs" dxfId="77" priority="88" operator="equal">
      <formula>"Select Fuel"</formula>
    </cfRule>
    <cfRule type="cellIs" dxfId="76" priority="89" operator="equal">
      <formula>"&lt;&lt;Select Fuel &gt;&gt;"</formula>
    </cfRule>
  </conditionalFormatting>
  <conditionalFormatting sqref="J732:M732">
    <cfRule type="cellIs" dxfId="75" priority="87" operator="equal">
      <formula>"Select Fuel"</formula>
    </cfRule>
  </conditionalFormatting>
  <conditionalFormatting sqref="I749:M749">
    <cfRule type="cellIs" dxfId="74" priority="86" operator="equal">
      <formula>"""&lt;&lt;Select Fuel &gt;&gt;"""</formula>
    </cfRule>
  </conditionalFormatting>
  <conditionalFormatting sqref="I749:M749">
    <cfRule type="cellIs" dxfId="73" priority="84" operator="equal">
      <formula>"Select Fuel"</formula>
    </cfRule>
    <cfRule type="cellIs" dxfId="72" priority="85" operator="equal">
      <formula>"&lt;&lt;Select Fuel &gt;&gt;"</formula>
    </cfRule>
  </conditionalFormatting>
  <conditionalFormatting sqref="J749:M749">
    <cfRule type="cellIs" dxfId="71"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70" priority="81" stopIfTrue="1" operator="greaterThan">
      <formula>0</formula>
    </cfRule>
  </conditionalFormatting>
  <conditionalFormatting sqref="A772:A809">
    <cfRule type="cellIs" dxfId="69"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68" priority="78" operator="greaterThan">
      <formula>0.02</formula>
    </cfRule>
  </conditionalFormatting>
  <conditionalFormatting sqref="P772:P809">
    <cfRule type="expression" dxfId="67" priority="77">
      <formula>AND($O$10="New Construction",$P$10="Yes")</formula>
    </cfRule>
  </conditionalFormatting>
  <conditionalFormatting sqref="J833:O839">
    <cfRule type="cellIs" dxfId="66" priority="76" stopIfTrue="1" operator="equal">
      <formula>0</formula>
    </cfRule>
  </conditionalFormatting>
  <conditionalFormatting sqref="J818:O829 J906:O918 J843:O904">
    <cfRule type="cellIs" dxfId="65" priority="75" operator="equal">
      <formula>0</formula>
    </cfRule>
  </conditionalFormatting>
  <conditionalFormatting sqref="B811:C811">
    <cfRule type="cellIs" dxfId="64" priority="74" operator="greaterThan">
      <formula>60.0000001</formula>
    </cfRule>
  </conditionalFormatting>
  <conditionalFormatting sqref="K815:N815">
    <cfRule type="containsText" dxfId="63" priority="73" operator="containsText" text="&lt;&lt; Select LIHTC Election &gt;&gt;">
      <formula>NOT(ISERROR(SEARCH("&lt;&lt; Select LIHTC Election &gt;&gt;",K815)))</formula>
    </cfRule>
  </conditionalFormatting>
  <conditionalFormatting sqref="T905">
    <cfRule type="cellIs" dxfId="62" priority="72" stopIfTrue="1" operator="greaterThan">
      <formula>0</formula>
    </cfRule>
  </conditionalFormatting>
  <conditionalFormatting sqref="J905:O905">
    <cfRule type="cellIs" dxfId="61" priority="71" operator="equal">
      <formula>0</formula>
    </cfRule>
  </conditionalFormatting>
  <conditionalFormatting sqref="K852:N852">
    <cfRule type="cellIs" dxfId="60" priority="68" operator="equal">
      <formula>"&lt;&lt; Select LIHTC Election &gt;&gt;"</formula>
    </cfRule>
    <cfRule type="containsText" dxfId="59" priority="70" operator="containsText" text="&lt;&lt; Select Election or Income Averaging &gt;&gt;">
      <formula>NOT(ISERROR(SEARCH("&lt;&lt; Select Election or Income Averaging &gt;&gt;",K852)))</formula>
    </cfRule>
  </conditionalFormatting>
  <conditionalFormatting sqref="K895:N895">
    <cfRule type="cellIs" dxfId="58" priority="67" operator="equal">
      <formula>"&lt;&lt; Select LIHTC Election &gt;&gt;"</formula>
    </cfRule>
    <cfRule type="containsText" dxfId="57" priority="69" operator="containsText" text="&lt;&lt; Select Election or Income Averaging &gt;&gt;">
      <formula>NOT(ISERROR(SEARCH("&lt;&lt; Select Election or Income Averaging &gt;&gt;",K895)))</formula>
    </cfRule>
  </conditionalFormatting>
  <conditionalFormatting sqref="G1021">
    <cfRule type="expression" dxfId="56" priority="66">
      <formula>$G$6&lt;$G$5</formula>
    </cfRule>
  </conditionalFormatting>
  <conditionalFormatting sqref="A1045">
    <cfRule type="expression" dxfId="55" priority="65">
      <formula>"or(B28&lt;$G$6,C28&lt;$G$6,D28&lt;$G$6,E28&lt;$G$6,F28&lt;$G$6,G28&lt;$G$6,H28&lt;$G$6,I28&lt;$G$6,J28&lt;$G$6,K28&lt;$G$6,)"</formula>
    </cfRule>
  </conditionalFormatting>
  <conditionalFormatting sqref="A1077">
    <cfRule type="expression" dxfId="54" priority="64">
      <formula>"or(B28&lt;$G$6,C28&lt;$G$6,D28&lt;$G$6,E28&lt;$G$6,F28&lt;$G$6,G28&lt;$G$6,H28&lt;$G$6,I28&lt;$G$6,J28&lt;$G$6,K28&lt;$G$6,)"</formula>
    </cfRule>
  </conditionalFormatting>
  <conditionalFormatting sqref="A1109">
    <cfRule type="expression" dxfId="53" priority="63">
      <formula>"or(B28&lt;$G$6,C28&lt;$G$6,D28&lt;$G$6,E28&lt;$G$6,F28&lt;$G$6,G28&lt;$G$6,H28&lt;$G$6,I28&lt;$G$6,J28&lt;$G$6,K28&lt;$G$6,)"</formula>
    </cfRule>
  </conditionalFormatting>
  <conditionalFormatting sqref="A1038">
    <cfRule type="expression" dxfId="52" priority="62">
      <formula>"or(B28&lt;$G$6,C28&lt;$G$6,D28&lt;$G$6,E28&lt;$G$6,F28&lt;$G$6,G28&lt;$G$6,H28&lt;$G$6,I28&lt;$G$6,J28&lt;$G$6,K28&lt;$G$6,)"</formula>
    </cfRule>
  </conditionalFormatting>
  <conditionalFormatting sqref="A1070">
    <cfRule type="expression" dxfId="51" priority="61">
      <formula>"or(B28&lt;$G$6,C28&lt;$G$6,D28&lt;$G$6,E28&lt;$G$6,F28&lt;$G$6,G28&lt;$G$6,H28&lt;$G$6,I28&lt;$G$6,J28&lt;$G$6,K28&lt;$G$6,)"</formula>
    </cfRule>
  </conditionalFormatting>
  <conditionalFormatting sqref="A1102">
    <cfRule type="expression" dxfId="50" priority="60">
      <formula>"or(B28&lt;$G$6,C28&lt;$G$6,D28&lt;$G$6,E28&lt;$G$6,F28&lt;$G$6,G28&lt;$G$6,H28&lt;$G$6,I28&lt;$G$6,J28&lt;$G$6,K28&lt;$G$6,)"</formula>
    </cfRule>
  </conditionalFormatting>
  <conditionalFormatting sqref="A1132">
    <cfRule type="expression" dxfId="49" priority="59">
      <formula>"or(B28&lt;$G$6,C28&lt;$G$6,D28&lt;$G$6,E28&lt;$G$6,F28&lt;$G$6,G28&lt;$G$6,H28&lt;$G$6,I28&lt;$G$6,J28&lt;$G$6,K28&lt;$G$6,)"</formula>
    </cfRule>
  </conditionalFormatting>
  <conditionalFormatting sqref="C1023">
    <cfRule type="containsText" dxfId="48" priority="58" operator="containsText" text="Must be &gt;= 7%!">
      <formula>NOT(ISERROR(SEARCH("Must be &gt;= 7%!",C1023)))</formula>
    </cfRule>
  </conditionalFormatting>
  <conditionalFormatting sqref="R1226:S1227 R1205 R1219:R1220 R1211:R1213 R1208 R1223:R1225">
    <cfRule type="cellIs" dxfId="47" priority="51" stopIfTrue="1" operator="greaterThan">
      <formula>0</formula>
    </cfRule>
  </conditionalFormatting>
  <conditionalFormatting sqref="R1198:R1200">
    <cfRule type="cellIs" dxfId="46" priority="50" stopIfTrue="1" operator="greaterThan">
      <formula>0</formula>
    </cfRule>
  </conditionalFormatting>
  <conditionalFormatting sqref="R1630">
    <cfRule type="cellIs" dxfId="45" priority="49" stopIfTrue="1" operator="equal">
      <formula>"* * Check Score! * *"</formula>
    </cfRule>
  </conditionalFormatting>
  <conditionalFormatting sqref="L1644:R1644">
    <cfRule type="cellIs" dxfId="44" priority="48" stopIfTrue="1" operator="equal">
      <formula>"* * Check Score! * *"</formula>
    </cfRule>
  </conditionalFormatting>
  <conditionalFormatting sqref="O1801:P1801 O1803:P1803">
    <cfRule type="cellIs" dxfId="43" priority="45" operator="greaterThan">
      <formula>M1801</formula>
    </cfRule>
  </conditionalFormatting>
  <conditionalFormatting sqref="Q1740">
    <cfRule type="cellIs" dxfId="42" priority="44" stopIfTrue="1" operator="equal">
      <formula>"* * Check Score! * *"</formula>
    </cfRule>
  </conditionalFormatting>
  <conditionalFormatting sqref="N2017:N2020">
    <cfRule type="cellIs" dxfId="41" priority="43" stopIfTrue="1" operator="equal">
      <formula>"* * Check Score! * *"</formula>
    </cfRule>
  </conditionalFormatting>
  <conditionalFormatting sqref="R1994">
    <cfRule type="cellIs" dxfId="40" priority="42" stopIfTrue="1" operator="equal">
      <formula>"* * Check Score! * *"</formula>
    </cfRule>
  </conditionalFormatting>
  <conditionalFormatting sqref="F1711">
    <cfRule type="expression" dxfId="39"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38" priority="32" stopIfTrue="1" operator="equal">
      <formula>"* * Check Score! * *"</formula>
    </cfRule>
  </conditionalFormatting>
  <conditionalFormatting sqref="L2007">
    <cfRule type="cellIs" dxfId="37" priority="39" stopIfTrue="1" operator="equal">
      <formula>"* * Check Score! * *"</formula>
    </cfRule>
  </conditionalFormatting>
  <conditionalFormatting sqref="L1982">
    <cfRule type="cellIs" dxfId="36" priority="38" stopIfTrue="1" operator="equal">
      <formula>"* * Check Score! * *"</formula>
    </cfRule>
  </conditionalFormatting>
  <conditionalFormatting sqref="L1979:L1980">
    <cfRule type="cellIs" dxfId="35" priority="37" stopIfTrue="1" operator="equal">
      <formula>"* * Check Score! * *"</formula>
    </cfRule>
  </conditionalFormatting>
  <conditionalFormatting sqref="L1965">
    <cfRule type="cellIs" dxfId="34" priority="36" stopIfTrue="1" operator="equal">
      <formula>"* * Check Score! * *"</formula>
    </cfRule>
  </conditionalFormatting>
  <conditionalFormatting sqref="L1966">
    <cfRule type="cellIs" dxfId="33" priority="35" stopIfTrue="1" operator="equal">
      <formula>"* * Check Score! * *"</formula>
    </cfRule>
  </conditionalFormatting>
  <conditionalFormatting sqref="L1858">
    <cfRule type="cellIs" dxfId="32" priority="34" stopIfTrue="1" operator="equal">
      <formula>"* * Check Score! * *"</formula>
    </cfRule>
  </conditionalFormatting>
  <conditionalFormatting sqref="L1855:L1856">
    <cfRule type="cellIs" dxfId="31" priority="33" stopIfTrue="1" operator="equal">
      <formula>"* * Check Score! * *"</formula>
    </cfRule>
  </conditionalFormatting>
  <conditionalFormatting sqref="L2039">
    <cfRule type="cellIs" dxfId="30" priority="31" stopIfTrue="1" operator="equal">
      <formula>"* * Check Score! * *"</formula>
    </cfRule>
  </conditionalFormatting>
  <conditionalFormatting sqref="L2059">
    <cfRule type="cellIs" dxfId="29" priority="30" stopIfTrue="1" operator="equal">
      <formula>"* * Check Score! * *"</formula>
    </cfRule>
  </conditionalFormatting>
  <conditionalFormatting sqref="L2032">
    <cfRule type="cellIs" dxfId="28" priority="29" stopIfTrue="1" operator="equal">
      <formula>"* * Check Score! * *"</formula>
    </cfRule>
  </conditionalFormatting>
  <conditionalFormatting sqref="R1995">
    <cfRule type="cellIs" dxfId="27" priority="28" stopIfTrue="1" operator="equal">
      <formula>"* * Check Score! * *"</formula>
    </cfRule>
  </conditionalFormatting>
  <conditionalFormatting sqref="L1785">
    <cfRule type="cellIs" dxfId="26" priority="26" stopIfTrue="1" operator="equal">
      <formula>"* * Check Score! * *"</formula>
    </cfRule>
  </conditionalFormatting>
  <conditionalFormatting sqref="L1763">
    <cfRule type="cellIs" dxfId="25" priority="27" stopIfTrue="1" operator="equal">
      <formula>"* * Check Score! * *"</formula>
    </cfRule>
  </conditionalFormatting>
  <conditionalFormatting sqref="F1879:F1883">
    <cfRule type="expression" dxfId="24" priority="47">
      <formula>AND($O$126&gt;0,$O$126&lt;4,OR($I$127="Statutory Redevelopment Plan",$I$127="Redevelopment Zone",$I$127="Local Redevelopment Plan"))</formula>
    </cfRule>
  </conditionalFormatting>
  <conditionalFormatting sqref="O1700">
    <cfRule type="cellIs" dxfId="23" priority="25" operator="notEqual">
      <formula>$M1700</formula>
    </cfRule>
  </conditionalFormatting>
  <conditionalFormatting sqref="L1984">
    <cfRule type="cellIs" dxfId="22" priority="24" stopIfTrue="1" operator="equal">
      <formula>"* * Check Score! * *"</formula>
    </cfRule>
  </conditionalFormatting>
  <conditionalFormatting sqref="R1996">
    <cfRule type="cellIs" dxfId="21" priority="23" stopIfTrue="1" operator="equal">
      <formula>"* * Check Score! * *"</formula>
    </cfRule>
  </conditionalFormatting>
  <conditionalFormatting sqref="R1997">
    <cfRule type="cellIs" dxfId="20" priority="22" stopIfTrue="1" operator="equal">
      <formula>"* * Check Score! * *"</formula>
    </cfRule>
  </conditionalFormatting>
  <conditionalFormatting sqref="L1700:L1701">
    <cfRule type="containsText" dxfId="19" priority="21" operator="containsText" text="CHOOSE EITHER A OR B, NOT BOTH!">
      <formula>NOT(ISERROR(SEARCH("CHOOSE EITHER A OR B, NOT BOTH!",L1700)))</formula>
    </cfRule>
  </conditionalFormatting>
  <conditionalFormatting sqref="O1736">
    <cfRule type="cellIs" dxfId="18" priority="19" operator="notEqual">
      <formula>$M1736</formula>
    </cfRule>
  </conditionalFormatting>
  <conditionalFormatting sqref="O1735">
    <cfRule type="cellIs" dxfId="17" priority="20" operator="notEqual">
      <formula>$M1735</formula>
    </cfRule>
  </conditionalFormatting>
  <conditionalFormatting sqref="O1737">
    <cfRule type="cellIs" dxfId="16" priority="18" operator="notEqual">
      <formula>$M1737</formula>
    </cfRule>
  </conditionalFormatting>
  <conditionalFormatting sqref="O1701">
    <cfRule type="cellIs" dxfId="15" priority="7" operator="notEqual">
      <formula>$M1701</formula>
    </cfRule>
  </conditionalFormatting>
  <conditionalFormatting sqref="O1744">
    <cfRule type="cellIs" dxfId="14" priority="16" operator="notEqual">
      <formula>$M1744</formula>
    </cfRule>
  </conditionalFormatting>
  <conditionalFormatting sqref="O1743">
    <cfRule type="cellIs" dxfId="13" priority="17" operator="notEqual">
      <formula>$M1743</formula>
    </cfRule>
  </conditionalFormatting>
  <conditionalFormatting sqref="O1745">
    <cfRule type="cellIs" dxfId="12" priority="15" operator="notEqual">
      <formula>$M1745</formula>
    </cfRule>
  </conditionalFormatting>
  <conditionalFormatting sqref="O1748">
    <cfRule type="cellIs" dxfId="11" priority="14" operator="notEqual">
      <formula>$M1748</formula>
    </cfRule>
  </conditionalFormatting>
  <conditionalFormatting sqref="O1757">
    <cfRule type="cellIs" dxfId="10" priority="13" operator="notEqual">
      <formula>$M1757</formula>
    </cfRule>
  </conditionalFormatting>
  <conditionalFormatting sqref="O1763">
    <cfRule type="cellIs" dxfId="9" priority="12" operator="notEqual">
      <formula>$M1763</formula>
    </cfRule>
  </conditionalFormatting>
  <conditionalFormatting sqref="O1785">
    <cfRule type="cellIs" dxfId="8" priority="11" operator="notEqual">
      <formula>$M1785</formula>
    </cfRule>
  </conditionalFormatting>
  <conditionalFormatting sqref="O1854">
    <cfRule type="cellIs" dxfId="7" priority="10" operator="notEqual">
      <formula>$M1854</formula>
    </cfRule>
  </conditionalFormatting>
  <conditionalFormatting sqref="O1855">
    <cfRule type="cellIs" dxfId="6" priority="9" operator="notEqual">
      <formula>$M1855</formula>
    </cfRule>
  </conditionalFormatting>
  <conditionalFormatting sqref="O1858">
    <cfRule type="cellIs" dxfId="5" priority="8" operator="notEqual">
      <formula>$M1858</formula>
    </cfRule>
  </conditionalFormatting>
  <conditionalFormatting sqref="F1884">
    <cfRule type="expression" dxfId="4" priority="6">
      <formula>AND($O$126&gt;0,$O$126&lt;4,OR($I$127="Statutory Redevelopment Plan",$I$127="Redevelopment Zone",$I$127="Local Redevelopment Plan"))</formula>
    </cfRule>
  </conditionalFormatting>
  <conditionalFormatting sqref="R1993">
    <cfRule type="cellIs" dxfId="3" priority="5" stopIfTrue="1" operator="equal">
      <formula>"* * Check Score! * *"</formula>
    </cfRule>
  </conditionalFormatting>
  <conditionalFormatting sqref="J1697:K1697">
    <cfRule type="containsText" dxfId="2" priority="4" operator="containsText" text="&lt;&lt; Select Election or Income Averaging &gt;&gt;">
      <formula>NOT(ISERROR(SEARCH("&lt;&lt; Select Election or Income Averaging &gt;&gt;",J1697)))</formula>
    </cfRule>
  </conditionalFormatting>
  <conditionalFormatting sqref="H1736">
    <cfRule type="containsText" dxfId="1" priority="2" operator="containsText" text="Pick A1 or A2!">
      <formula>NOT(ISERROR(SEARCH("Pick A1 or A2!",H1736)))</formula>
    </cfRule>
  </conditionalFormatting>
  <conditionalFormatting sqref="F1746">
    <cfRule type="containsText" dxfId="0"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30</vt:i4>
      </vt:variant>
    </vt:vector>
  </HeadingPairs>
  <TitlesOfParts>
    <vt:vector size="58"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2019-05-23T17:12:43Z</cp:lastPrinted>
  <dcterms:created xsi:type="dcterms:W3CDTF">2005-09-15T20:51:37Z</dcterms:created>
  <dcterms:modified xsi:type="dcterms:W3CDTF">2020-01-27T15:40:31Z</dcterms:modified>
</cp:coreProperties>
</file>